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drawings/drawing3.xml" ContentType="application/vnd.openxmlformats-officedocument.drawing+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mc:AlternateContent xmlns:mc="http://schemas.openxmlformats.org/markup-compatibility/2006">
    <mc:Choice Requires="x15">
      <x15ac:absPath xmlns:x15ac="http://schemas.microsoft.com/office/spreadsheetml/2010/11/ac" url="C:\HyEE_clg\CAPACITACIONES 2022\herramientas de cálculo\"/>
    </mc:Choice>
  </mc:AlternateContent>
  <xr:revisionPtr revIDLastSave="0" documentId="8_{004BC614-721D-451B-89A0-EF54366BDFA3}" xr6:coauthVersionLast="47" xr6:coauthVersionMax="47" xr10:uidLastSave="{00000000-0000-0000-0000-000000000000}"/>
  <workbookProtection workbookAlgorithmName="SHA-512" workbookHashValue="VGbN/3lI0l6sltNVyQ1sgMrXIuTJ4xJgFGiuj+QiknWcsJrhDzRXcVr1/F++W563zMVNdWTItXiHpM7mEeosag==" workbookSaltValue="WMZHA2bsHen7L+MFbHuGTw==" workbookSpinCount="100000" lockStructure="1"/>
  <bookViews>
    <workbookView xWindow="-28920" yWindow="-120" windowWidth="29040" windowHeight="16440" activeTab="1" xr2:uid="{00000000-000D-0000-FFFF-FFFF00000000}"/>
  </bookViews>
  <sheets>
    <sheet name="Instrucciones" sheetId="6" r:id="rId1"/>
    <sheet name="Datos" sheetId="2" r:id="rId2"/>
    <sheet name="Cálculos" sheetId="1" state="hidden" r:id="rId3"/>
    <sheet name="imágenes" sheetId="5" state="hidden" r:id="rId4"/>
    <sheet name="Aux" sheetId="3" state="hidden" r:id="rId5"/>
  </sheets>
  <definedNames>
    <definedName name="A_gas">Aux!$K$11</definedName>
    <definedName name="Af" localSheetId="2">Cálculos!$D$10</definedName>
    <definedName name="Ag" localSheetId="2">Cálculos!$D$11</definedName>
    <definedName name="Ag_usuario" localSheetId="2">Cálculos!$D$6</definedName>
    <definedName name="alfa" localSheetId="2">Cálculos!$J$21</definedName>
    <definedName name="alto" localSheetId="2">Cálculos!$D$4</definedName>
    <definedName name="alto_marco_usuario" localSheetId="2">Cálculos!$D$8</definedName>
    <definedName name="ancho" localSheetId="2">Cálculos!$D$3</definedName>
    <definedName name="aporte_espaciador">Cálculos!$J$45</definedName>
    <definedName name="aporte_marco">Cálculos!$J$43</definedName>
    <definedName name="aporte_vidriado">Cálculos!$J$44</definedName>
    <definedName name="_xlnm.Print_Area" localSheetId="1">Datos!$B$1:$AG$52</definedName>
    <definedName name="Aw" localSheetId="2">Cálculos!$D$5</definedName>
    <definedName name="caso" localSheetId="2">Cálculos!$J$20</definedName>
    <definedName name="cgas" localSheetId="2">Cálculos!$R$7</definedName>
    <definedName name="Configuración" localSheetId="2">Cálculos!$J$18</definedName>
    <definedName name="d" localSheetId="2">Cálculos!$C$27</definedName>
    <definedName name="df" localSheetId="2">Cálculos!$C$21</definedName>
    <definedName name="fm" localSheetId="2">Cálculos!$D$7</definedName>
    <definedName name="Grgas" localSheetId="2">Cálculos!$U$4</definedName>
    <definedName name="Junta_apertura_calc" localSheetId="2">Cálculos!$D$12</definedName>
    <definedName name="lambda_vidrio" localSheetId="2">Aux!$E$33</definedName>
    <definedName name="lg" localSheetId="2">Cálculos!$L$23</definedName>
    <definedName name="lg_calc" localSheetId="2">Cálculos!$J$23</definedName>
    <definedName name="n_gas">Aux!$K$10</definedName>
    <definedName name="Nu_gas" localSheetId="2">Cálculos!$U$3</definedName>
    <definedName name="opción_sup_Ventana">Cálculos!$B$9</definedName>
    <definedName name="opciones_tipo_cierre">Cálculos!$O$18:$O$20</definedName>
    <definedName name="Pr_gas" localSheetId="2">Cálculos!$U$5</definedName>
    <definedName name="proporción_defecto">Aux!$I$60</definedName>
    <definedName name="Rf_metálico" localSheetId="2">Cálculos!$C$28</definedName>
    <definedName name="Rse">Aux!$K$14</definedName>
    <definedName name="Rsi">Aux!$K$13</definedName>
    <definedName name="tipo_categoría_marco">Cálculos!$C$17</definedName>
    <definedName name="tipo_cierre">Cálculos!$J$19</definedName>
    <definedName name="tipo_espaciador_1">Cálculos!$N$6</definedName>
    <definedName name="tipo_espaciador_2" localSheetId="2">Cálculos!$N$8</definedName>
    <definedName name="tipo_marco">Cálculos!$C$16</definedName>
    <definedName name="tipo_vidriado">Cálculos!$J$3</definedName>
    <definedName name="Tm_gas_defecto">Aux!$K$6</definedName>
    <definedName name="txt_cálculo">Cálculos!$I$48</definedName>
    <definedName name="txt_campo_numérico">Cálculos!$D$35</definedName>
    <definedName name="txt_espaciador">Cálculos!$M$6</definedName>
    <definedName name="txt_marco">Cálculos!$I$48</definedName>
    <definedName name="txt_R_cámara_aire">Aux!$G$64</definedName>
    <definedName name="txt_transmitancia_marco">Aux!$G$62</definedName>
    <definedName name="txt_transmitancia_marco_usuario">Aux!$G$61</definedName>
    <definedName name="txt_transmitancia_marco_vidrio">Aux!$G$66</definedName>
    <definedName name="txt_transmitancia_marco_vidrio_usuario">Aux!$G$65</definedName>
    <definedName name="txt_Vidrio">Cálculos!$I$5</definedName>
    <definedName name="Uf" localSheetId="2">Cálculos!$D$14</definedName>
    <definedName name="Uf_calc" localSheetId="2">Cálculos!$C$36</definedName>
    <definedName name="Uf_Metal_sin_RPT">Aux!$P$29</definedName>
    <definedName name="Uf_usuario" localSheetId="2">Cálculos!$C$15</definedName>
    <definedName name="Ug" localSheetId="2">Cálculos!$K$2</definedName>
    <definedName name="Uw" localSheetId="2">Cálculos!$K$41</definedName>
    <definedName name="ΔT_gas_defecto">Aux!$K$5</definedName>
    <definedName name="ε_vidrio_defecto">Aux!$K$4</definedName>
    <definedName name="λgas" localSheetId="2">Cálculos!$R$6</definedName>
    <definedName name="μgas" localSheetId="2">Cálculos!$R$5</definedName>
    <definedName name="ρgas" localSheetId="2">Cálculos!$R$4</definedName>
    <definedName name="σ">Aux!$K$7</definedName>
    <definedName name="Ψg" localSheetId="2">Cálculos!$K$14</definedName>
    <definedName name="Ψg_calc" localSheetId="2">Cálculos!$J$16</definedName>
    <definedName name="Ψg_usuario">Cálculos!$J$15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Z14" i="2" l="1"/>
  <c r="D8" i="1"/>
  <c r="D7" i="1"/>
  <c r="D6" i="1"/>
  <c r="C15" i="1"/>
  <c r="J21" i="1"/>
  <c r="J15" i="1"/>
  <c r="O6" i="1"/>
  <c r="N6" i="1" s="1"/>
  <c r="G63" i="3" l="1"/>
  <c r="C26" i="1" l="1"/>
  <c r="C25" i="1"/>
  <c r="O9" i="1" l="1"/>
  <c r="N9" i="1" s="1"/>
  <c r="O7" i="1"/>
  <c r="N7" i="1" s="1"/>
  <c r="O5" i="1"/>
  <c r="N5" i="1" s="1"/>
  <c r="J9" i="1"/>
  <c r="L9" i="1" s="1"/>
  <c r="J8" i="1"/>
  <c r="C33" i="1"/>
  <c r="D16" i="1"/>
  <c r="C17" i="1" s="1"/>
  <c r="M7" i="1"/>
  <c r="C16" i="1" l="1"/>
  <c r="D17" i="1"/>
  <c r="D35" i="1" l="1"/>
  <c r="C19" i="2" s="1"/>
  <c r="C21" i="1"/>
  <c r="C22" i="1" s="1"/>
  <c r="C27" i="1"/>
  <c r="C28" i="1" s="1"/>
  <c r="C29" i="1" s="1"/>
  <c r="C36" i="1" l="1"/>
  <c r="M5" i="1"/>
  <c r="U7" i="1" s="1"/>
  <c r="B3" i="3"/>
  <c r="B4" i="3"/>
  <c r="B5" i="3"/>
  <c r="B6" i="3"/>
  <c r="B7" i="3"/>
  <c r="B8" i="3"/>
  <c r="B9" i="3"/>
  <c r="B10" i="3"/>
  <c r="B11" i="3"/>
  <c r="B12" i="3"/>
  <c r="B13" i="3"/>
  <c r="B14" i="3"/>
  <c r="B15" i="3"/>
  <c r="B16" i="3"/>
  <c r="B17" i="3"/>
  <c r="B18" i="3"/>
  <c r="B19" i="3"/>
  <c r="B20" i="3"/>
  <c r="B21" i="3"/>
  <c r="B22" i="3"/>
  <c r="D14" i="1" l="1"/>
  <c r="E33" i="2" s="1"/>
  <c r="W26" i="2"/>
  <c r="R7" i="1"/>
  <c r="R4" i="1"/>
  <c r="R5" i="1"/>
  <c r="R6" i="1"/>
  <c r="U5" i="1" l="1"/>
  <c r="O8" i="1" l="1"/>
  <c r="D4" i="1" l="1"/>
  <c r="J5" i="1"/>
  <c r="L5" i="1" s="1"/>
  <c r="K19" i="1"/>
  <c r="J19" i="1" s="1"/>
  <c r="J6" i="1"/>
  <c r="J7" i="1"/>
  <c r="L7" i="1" s="1"/>
  <c r="K3" i="1"/>
  <c r="J3" i="1" s="1"/>
  <c r="J16" i="1" s="1"/>
  <c r="W27" i="2" l="1"/>
  <c r="K14" i="1"/>
  <c r="D3" i="1"/>
  <c r="K18" i="1"/>
  <c r="L6" i="1"/>
  <c r="K2" i="1" s="1"/>
  <c r="O33" i="2" s="1"/>
  <c r="U4" i="1"/>
  <c r="U3" i="1" s="1"/>
  <c r="U6" i="1" s="1"/>
  <c r="U8" i="1" s="1"/>
  <c r="T2" i="1" s="1"/>
  <c r="M6" i="1"/>
  <c r="O21" i="2" s="1"/>
  <c r="I5" i="1"/>
  <c r="O20" i="2" s="1"/>
  <c r="D5" i="1" l="1"/>
  <c r="G8" i="1"/>
  <c r="G7" i="1"/>
  <c r="G9" i="1"/>
  <c r="G6" i="1"/>
  <c r="Z33" i="2"/>
  <c r="O22" i="1" a="1"/>
  <c r="O22" i="1" s="1"/>
  <c r="O21" i="1" a="1"/>
  <c r="O21" i="1" s="1"/>
  <c r="J18" i="1"/>
  <c r="J20" i="1" s="1"/>
  <c r="O20" i="1" a="1"/>
  <c r="O20" i="1" s="1"/>
  <c r="O18" i="1" a="1"/>
  <c r="O18" i="1" s="1"/>
  <c r="O19" i="1" a="1"/>
  <c r="O19" i="1" s="1"/>
  <c r="AC4" i="2"/>
  <c r="D11" i="1" l="1" a="1"/>
  <c r="D11" i="1" s="1"/>
  <c r="AA10" i="2" s="1"/>
  <c r="D10" i="1" l="1"/>
  <c r="J30" i="1" s="1"/>
  <c r="J31" i="1" l="1"/>
  <c r="K31" i="1" s="1"/>
  <c r="J26" i="1"/>
  <c r="K26" i="1" s="1"/>
  <c r="J32" i="1"/>
  <c r="K32" i="1" s="1"/>
  <c r="J29" i="1"/>
  <c r="L29" i="1" s="1"/>
  <c r="J27" i="1"/>
  <c r="L27" i="1" s="1"/>
  <c r="J28" i="1"/>
  <c r="M10" i="2"/>
  <c r="L31" i="1"/>
  <c r="M31" i="1" s="1"/>
  <c r="K30" i="1"/>
  <c r="L30" i="1"/>
  <c r="L32" i="1"/>
  <c r="N32" i="1" s="1"/>
  <c r="L26" i="1"/>
  <c r="M26" i="1" s="1"/>
  <c r="K29" i="1" l="1"/>
  <c r="M29" i="1" s="1"/>
  <c r="K27" i="1"/>
  <c r="N27" i="1" s="1"/>
  <c r="M30" i="1"/>
  <c r="L28" i="1"/>
  <c r="L22" i="1" s="1"/>
  <c r="K28" i="1"/>
  <c r="N29" i="1"/>
  <c r="N26" i="1"/>
  <c r="N31" i="1"/>
  <c r="M32" i="1"/>
  <c r="N30" i="1"/>
  <c r="M27" i="1" l="1"/>
  <c r="M28" i="1"/>
  <c r="J23" i="1" s="1"/>
  <c r="N28" i="1"/>
  <c r="D12" i="1" s="1"/>
  <c r="Z13" i="2" s="1"/>
  <c r="J22" i="1"/>
  <c r="L23" i="1" l="1"/>
  <c r="W28" i="2"/>
  <c r="N41" i="1" l="1"/>
  <c r="K40" i="1"/>
  <c r="J44" i="1"/>
  <c r="J43" i="1"/>
  <c r="J45" i="1"/>
  <c r="AD41" i="2" l="1"/>
  <c r="AB41" i="2"/>
  <c r="AB40" i="2"/>
  <c r="AD40" i="2"/>
  <c r="AB42" i="2"/>
  <c r="AD42" i="2"/>
  <c r="I48" i="1"/>
  <c r="B45" i="2" s="1"/>
  <c r="K41" i="1"/>
  <c r="P39" i="2"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<sst xmlns="http://schemas.openxmlformats.org/spreadsheetml/2006/main" count="401" uniqueCount="269">
  <si>
    <t>Uw</t>
  </si>
  <si>
    <t>Ag</t>
  </si>
  <si>
    <t>Ug</t>
  </si>
  <si>
    <t>Af</t>
  </si>
  <si>
    <t>Uf</t>
  </si>
  <si>
    <t>lg</t>
  </si>
  <si>
    <t>espaciador</t>
  </si>
  <si>
    <t>Vidrio 2</t>
  </si>
  <si>
    <t>Aire</t>
  </si>
  <si>
    <t>Argón</t>
  </si>
  <si>
    <t>Kriptón</t>
  </si>
  <si>
    <t>Xenón</t>
  </si>
  <si>
    <t>SF6</t>
  </si>
  <si>
    <t>densidad</t>
  </si>
  <si>
    <t>viscosidad dinámica</t>
  </si>
  <si>
    <t>conductividad</t>
  </si>
  <si>
    <t>calor específico</t>
  </si>
  <si>
    <t>temperatura</t>
  </si>
  <si>
    <t>gas</t>
  </si>
  <si>
    <t>hg</t>
  </si>
  <si>
    <t xml:space="preserve">Nu </t>
  </si>
  <si>
    <t>Gases</t>
  </si>
  <si>
    <t>λgas</t>
  </si>
  <si>
    <t>sgas</t>
  </si>
  <si>
    <t>A</t>
  </si>
  <si>
    <t>Gr</t>
  </si>
  <si>
    <t>Pr</t>
  </si>
  <si>
    <t>ρgas</t>
  </si>
  <si>
    <t>cgas</t>
  </si>
  <si>
    <t>llave</t>
  </si>
  <si>
    <t>m</t>
  </si>
  <si>
    <r>
      <t>kg/m</t>
    </r>
    <r>
      <rPr>
        <sz val="11"/>
        <color theme="1"/>
        <rFont val="Calibri"/>
        <family val="2"/>
      </rPr>
      <t>³</t>
    </r>
  </si>
  <si>
    <t>ΔT</t>
  </si>
  <si>
    <t>Tm</t>
  </si>
  <si>
    <t>ε</t>
  </si>
  <si>
    <t>σ</t>
  </si>
  <si>
    <t>he</t>
  </si>
  <si>
    <t>hi</t>
  </si>
  <si>
    <t>n</t>
  </si>
  <si>
    <t>K</t>
  </si>
  <si>
    <r>
      <t>W/(m</t>
    </r>
    <r>
      <rPr>
        <sz val="11"/>
        <color theme="1"/>
        <rFont val="Calibri"/>
        <family val="2"/>
      </rPr>
      <t>²K⁴</t>
    </r>
    <r>
      <rPr>
        <sz val="11"/>
        <color theme="1"/>
        <rFont val="Calibri"/>
        <family val="2"/>
        <scheme val="minor"/>
      </rPr>
      <t>)</t>
    </r>
  </si>
  <si>
    <r>
      <t>W/(m</t>
    </r>
    <r>
      <rPr>
        <sz val="11"/>
        <color theme="1"/>
        <rFont val="Calibri"/>
        <family val="2"/>
      </rPr>
      <t>²K</t>
    </r>
    <r>
      <rPr>
        <sz val="11"/>
        <color theme="1"/>
        <rFont val="Calibri"/>
        <family val="2"/>
        <scheme val="minor"/>
      </rPr>
      <t>)</t>
    </r>
  </si>
  <si>
    <t>entre superficies de vidrio que encierran el gas</t>
  </si>
  <si>
    <t>temperatura media del gas</t>
  </si>
  <si>
    <t>constante stefan boltzman</t>
  </si>
  <si>
    <t>coef de transferencia de calor exterior vidrio sin recubrimiento</t>
  </si>
  <si>
    <t>coef de transferencia de calor interior vidrio sin recubrimiento</t>
  </si>
  <si>
    <t>exponente</t>
  </si>
  <si>
    <t>emisividad vidrio sin recubrimiento</t>
  </si>
  <si>
    <t>μgas</t>
  </si>
  <si>
    <t>número de Nusselt</t>
  </si>
  <si>
    <t>número de Grashof</t>
  </si>
  <si>
    <t>número de Prandtl</t>
  </si>
  <si>
    <t>Rg</t>
  </si>
  <si>
    <t>λ</t>
  </si>
  <si>
    <t>Rsi</t>
  </si>
  <si>
    <t>Rse</t>
  </si>
  <si>
    <t>λvidrio</t>
  </si>
  <si>
    <r>
      <t>W/(m</t>
    </r>
    <r>
      <rPr>
        <sz val="11"/>
        <color theme="1"/>
        <rFont val="Calibri"/>
        <family val="2"/>
      </rPr>
      <t>K</t>
    </r>
    <r>
      <rPr>
        <sz val="11"/>
        <color theme="1"/>
        <rFont val="Calibri"/>
        <family val="2"/>
        <scheme val="minor"/>
      </rPr>
      <t>)</t>
    </r>
  </si>
  <si>
    <t>conductividad por defecto</t>
  </si>
  <si>
    <t>espesor</t>
  </si>
  <si>
    <t>0,1</t>
  </si>
  <si>
    <t>0,2</t>
  </si>
  <si>
    <t>0,4</t>
  </si>
  <si>
    <t>0,8</t>
  </si>
  <si>
    <t>Poliuretano con núcleo metálico</t>
  </si>
  <si>
    <t>material</t>
  </si>
  <si>
    <t>Perfil hueco de PVC, dos cámaras</t>
  </si>
  <si>
    <t>Perfil hueco de PVC, tres cámaras</t>
  </si>
  <si>
    <t>x</t>
  </si>
  <si>
    <t>y</t>
  </si>
  <si>
    <t>e</t>
  </si>
  <si>
    <t>mm</t>
  </si>
  <si>
    <r>
      <t>Madera blanda (</t>
    </r>
    <r>
      <rPr>
        <sz val="11"/>
        <color theme="1"/>
        <rFont val="Calibri"/>
        <family val="2"/>
      </rPr>
      <t>ρ=500 kg/m³</t>
    </r>
    <r>
      <rPr>
        <sz val="11"/>
        <color theme="1"/>
        <rFont val="Calibri"/>
        <family val="2"/>
        <scheme val="minor"/>
      </rPr>
      <t>)</t>
    </r>
  </si>
  <si>
    <r>
      <t>Madera dura (</t>
    </r>
    <r>
      <rPr>
        <sz val="11"/>
        <color theme="1"/>
        <rFont val="Calibri"/>
        <family val="2"/>
      </rPr>
      <t>ρ=700 kg/m³</t>
    </r>
    <r>
      <rPr>
        <sz val="11"/>
        <color theme="1"/>
        <rFont val="Calibri"/>
        <family val="2"/>
        <scheme val="minor"/>
      </rPr>
      <t>)</t>
    </r>
  </si>
  <si>
    <t>MARCO</t>
  </si>
  <si>
    <t>MADERA</t>
  </si>
  <si>
    <t>VIDRIO</t>
  </si>
  <si>
    <t>Madera</t>
  </si>
  <si>
    <t>PVC</t>
  </si>
  <si>
    <t>vidrio sin cubierta</t>
  </si>
  <si>
    <t>vidrio baja emisividad</t>
  </si>
  <si>
    <t>tipo marco</t>
  </si>
  <si>
    <t>Metal con RPT</t>
  </si>
  <si>
    <t>Metal sin RPT</t>
  </si>
  <si>
    <t>METÁLICO</t>
  </si>
  <si>
    <t>Af,i/Af,di</t>
  </si>
  <si>
    <t>Af,e/Af,de</t>
  </si>
  <si>
    <t>Rf</t>
  </si>
  <si>
    <t>PLÁSTICO</t>
  </si>
  <si>
    <t>fm</t>
  </si>
  <si>
    <t>alto</t>
  </si>
  <si>
    <t>ancho</t>
  </si>
  <si>
    <t>Marcos</t>
  </si>
  <si>
    <t>otros</t>
  </si>
  <si>
    <t>Vidriado</t>
  </si>
  <si>
    <t>DVH</t>
  </si>
  <si>
    <t>TVH</t>
  </si>
  <si>
    <t>tipo vidrio</t>
  </si>
  <si>
    <t>común incoloro</t>
  </si>
  <si>
    <t>vidriado</t>
  </si>
  <si>
    <t>materialidad</t>
  </si>
  <si>
    <t>tipo cierre</t>
  </si>
  <si>
    <t>ancho sección vidrio</t>
  </si>
  <si>
    <t>alto sección vidrio</t>
  </si>
  <si>
    <t>normal</t>
  </si>
  <si>
    <t>mejorado</t>
  </si>
  <si>
    <t>con lámina emisividad 0,8</t>
  </si>
  <si>
    <t>con lámina emisividad 0,4</t>
  </si>
  <si>
    <t>con lámina emisividad 0,2</t>
  </si>
  <si>
    <t>con lámina emisividad 0,1</t>
  </si>
  <si>
    <t>categoría marco</t>
  </si>
  <si>
    <t>Metal</t>
  </si>
  <si>
    <t>R</t>
  </si>
  <si>
    <t>Vidrio 3</t>
  </si>
  <si>
    <t>tipo</t>
  </si>
  <si>
    <t>ninguno</t>
  </si>
  <si>
    <t>d</t>
  </si>
  <si>
    <t>Sin superficie vidriada</t>
  </si>
  <si>
    <r>
      <t>m</t>
    </r>
    <r>
      <rPr>
        <sz val="11"/>
        <color theme="1"/>
        <rFont val="Calibri"/>
        <family val="2"/>
      </rPr>
      <t>²</t>
    </r>
    <r>
      <rPr>
        <sz val="11"/>
        <color theme="1"/>
        <rFont val="Calibri"/>
        <family val="2"/>
        <scheme val="minor"/>
      </rPr>
      <t>K/W</t>
    </r>
  </si>
  <si>
    <r>
      <t>W/m</t>
    </r>
    <r>
      <rPr>
        <sz val="11"/>
        <color theme="1"/>
        <rFont val="Calibri"/>
        <family val="2"/>
      </rPr>
      <t>²</t>
    </r>
    <r>
      <rPr>
        <sz val="11"/>
        <color theme="1"/>
        <rFont val="Calibri"/>
        <family val="2"/>
        <scheme val="minor"/>
      </rPr>
      <t>K</t>
    </r>
  </si>
  <si>
    <t>Condiciones de cálculo:</t>
  </si>
  <si>
    <t>Madera dura (ρ=700 kg/m³)</t>
  </si>
  <si>
    <t>Espaciador 2</t>
  </si>
  <si>
    <t>Marco:</t>
  </si>
  <si>
    <t>Área vidrio, Ag:</t>
  </si>
  <si>
    <r>
      <t>m</t>
    </r>
    <r>
      <rPr>
        <sz val="11"/>
        <color theme="1"/>
        <rFont val="Calibri"/>
        <family val="2"/>
      </rPr>
      <t>²</t>
    </r>
  </si>
  <si>
    <t>Alternativa 1:</t>
  </si>
  <si>
    <t>Alternativa 2:</t>
  </si>
  <si>
    <t>Proporción marco vidrio:</t>
  </si>
  <si>
    <t>Transmitancia térmica total de la ventana, Uw</t>
  </si>
  <si>
    <t>Transmitancias térmicas:</t>
  </si>
  <si>
    <t>Ug =</t>
  </si>
  <si>
    <r>
      <rPr>
        <sz val="18"/>
        <color theme="1"/>
        <rFont val="Calibri"/>
        <family val="2"/>
      </rPr>
      <t>Ψ</t>
    </r>
    <r>
      <rPr>
        <sz val="18"/>
        <color theme="1"/>
        <rFont val="Calibri"/>
        <family val="2"/>
        <scheme val="minor"/>
      </rPr>
      <t>g =</t>
    </r>
  </si>
  <si>
    <t>Vidriado:</t>
  </si>
  <si>
    <t>Efecto marco-espaciador-vidriado:</t>
  </si>
  <si>
    <t>Resultado:</t>
  </si>
  <si>
    <t>alternativa superficies ventana</t>
  </si>
  <si>
    <t>Uf =</t>
  </si>
  <si>
    <t>Área marco, Af:</t>
  </si>
  <si>
    <t>Especificaciones marco y vidrio:</t>
  </si>
  <si>
    <t>Fecha:</t>
  </si>
  <si>
    <t>Guillotina</t>
  </si>
  <si>
    <t>Proyectante</t>
  </si>
  <si>
    <t>Abatible</t>
  </si>
  <si>
    <t>Corredera</t>
  </si>
  <si>
    <t>Nombre y firma Profesional:</t>
  </si>
  <si>
    <t>Ancho total:</t>
  </si>
  <si>
    <t>Alto total:</t>
  </si>
  <si>
    <t>Área total ventana, Aw:</t>
  </si>
  <si>
    <t>m²</t>
  </si>
  <si>
    <t>DIMENSIONES VENTANA</t>
  </si>
  <si>
    <t>RESULTADOS</t>
  </si>
  <si>
    <t>sin lámina</t>
  </si>
  <si>
    <t>Razón entre área de marco y área desarrollada de marco :</t>
  </si>
  <si>
    <t>Interior, Af/Af,di:</t>
  </si>
  <si>
    <t>Exterior, Af/Af,de:</t>
  </si>
  <si>
    <t>Aporte:</t>
  </si>
  <si>
    <t>lg calc</t>
  </si>
  <si>
    <t>Marco</t>
  </si>
  <si>
    <t>Espaciador</t>
  </si>
  <si>
    <t>Tipo de marco:</t>
  </si>
  <si>
    <t>Tipo de vidriado:</t>
  </si>
  <si>
    <t>Gas:</t>
  </si>
  <si>
    <t>Espesor</t>
  </si>
  <si>
    <t>Tipo</t>
  </si>
  <si>
    <t>Elemento</t>
  </si>
  <si>
    <t>Aw</t>
  </si>
  <si>
    <t>marco</t>
  </si>
  <si>
    <t>vidrio</t>
  </si>
  <si>
    <t>aporte</t>
  </si>
  <si>
    <t>campo numérico:</t>
  </si>
  <si>
    <t>ESPACIADOR</t>
  </si>
  <si>
    <t>INSTRUCCIONES DE USO</t>
  </si>
  <si>
    <r>
      <t>Aquí se indicarán los valores obtenidos de transmitancia térmica para el marco y vidrio en [W/m</t>
    </r>
    <r>
      <rPr>
        <sz val="11"/>
        <color theme="1"/>
        <rFont val="Calibri"/>
        <family val="2"/>
      </rPr>
      <t>²</t>
    </r>
    <r>
      <rPr>
        <sz val="11"/>
        <color theme="1"/>
        <rFont val="Calibri"/>
        <family val="2"/>
        <scheme val="minor"/>
      </rPr>
      <t>K] y la transmitancia térmica lineal del efecto marco-espaciador-vidrio. Cuando se trate de ventanas con vidrio simple, este último efecto se desprecia.</t>
    </r>
  </si>
  <si>
    <r>
      <t>W/m</t>
    </r>
    <r>
      <rPr>
        <b/>
        <sz val="11"/>
        <color theme="0"/>
        <rFont val="Calibri"/>
        <family val="2"/>
      </rPr>
      <t>²</t>
    </r>
    <r>
      <rPr>
        <b/>
        <sz val="11"/>
        <color theme="0"/>
        <rFont val="Calibri"/>
        <family val="2"/>
        <scheme val="minor"/>
      </rPr>
      <t>K</t>
    </r>
  </si>
  <si>
    <t>Se muestra la transmitancia térmica total de la ventana, que cual se calcula como:</t>
  </si>
  <si>
    <t>en que:</t>
  </si>
  <si>
    <t>:</t>
  </si>
  <si>
    <t>Transmitancia térmica de la ventana en [W/m²K]</t>
  </si>
  <si>
    <t>Transmitancia térmica de la superficie de marco en [W/m²K]</t>
  </si>
  <si>
    <t>Superficie de marco en [m²]</t>
  </si>
  <si>
    <t>Transmitancia térmica de la superficie vidriada en [W/m²K]</t>
  </si>
  <si>
    <t>Superficie vidriada en [m²]</t>
  </si>
  <si>
    <t>Transmitancia térmica lineal por la interacción marco-espaciador-vidriado en [W/mK]</t>
  </si>
  <si>
    <t>Perimetro de contacto entre el vidriado y el marco en [m]</t>
  </si>
  <si>
    <t>Introducción:</t>
  </si>
  <si>
    <t>Resistencia térmica de la cámara de aire, Rs, para el cálculo de transmitancia térmica del vidriado,Ug, obtenido de Anexo C (Informativo).</t>
  </si>
  <si>
    <t>Transmitancia térmica del marco, Uf obtenido de Anexo D (Informativo).</t>
  </si>
  <si>
    <t>lambda vidrio</t>
  </si>
  <si>
    <t>Uw calc</t>
  </si>
  <si>
    <r>
      <rPr>
        <b/>
        <sz val="11"/>
        <color theme="1"/>
        <rFont val="Calibri"/>
        <family val="2"/>
        <scheme val="minor"/>
      </rPr>
      <t>NOTA</t>
    </r>
    <r>
      <rPr>
        <sz val="11"/>
        <color theme="1"/>
        <rFont val="Calibri"/>
        <family val="2"/>
        <scheme val="minor"/>
      </rPr>
      <t>: En el caso de ventanas con marco de metal sin RPT y vidrio simple es posible obtener por cálculo transmitancias térmicas totales con valores mayores a 5,8 [W/m²K], en cuyo caso y para efectos de acreditar cumplimiento del comportamiento térmico se asumirá que el valor es 5,8.</t>
    </r>
  </si>
  <si>
    <t>Fija</t>
  </si>
  <si>
    <t>1 hoja</t>
  </si>
  <si>
    <t>Uf madera</t>
  </si>
  <si>
    <t>e=(W+H)/4+raiz((W+H)^2-4Af)/4</t>
  </si>
  <si>
    <t>e=(4W+5H)/40+raiz((4W+5H)^2-80Af)/40</t>
  </si>
  <si>
    <t>e=(W(a+1)+2H)/14+raiz((W(a+1)+2H)^2-14Af)/14, a = la razón del paño operable respecto de la superficie total de la ventana</t>
  </si>
  <si>
    <t>e=(W(a+1)+3H)/20+raiz((W(a+1)+3H)^2-20Af)/20, a = la razón del paño operable respecto de la superficie total de la ventana</t>
  </si>
  <si>
    <t>e=(H(a+1)+2W)/14+raiz((H(a+1)+2W)^2-14Af)/14, a = la razón del paño operable respecto de la superficie total de la ventana</t>
  </si>
  <si>
    <t>e=(W+2H)/16+raiz((W+2H)^2-8Af)/16</t>
  </si>
  <si>
    <t>e=(H(a+1)+3W)/20+raiz((H(a+1)+3W)^2-20Af)/20, a = la razón del paño operable respecto de la superficie total de la ventana</t>
  </si>
  <si>
    <t>2 hojas, 1 fija lateral</t>
  </si>
  <si>
    <t>2 hojas, 1 fija inferior</t>
  </si>
  <si>
    <t>Configuración:</t>
  </si>
  <si>
    <t>Configuración</t>
  </si>
  <si>
    <t>caso</t>
  </si>
  <si>
    <t>alfa</t>
  </si>
  <si>
    <t>CASO 1: 1 hoja proyectante, abatible, fija</t>
  </si>
  <si>
    <t>CASO 2: hoja corredera y 1 fija lateral</t>
  </si>
  <si>
    <t>CASO 3: 1 hoja proyectante/abatible y 1 fija lateral</t>
  </si>
  <si>
    <t>CASO 4: 1 hoja guillotina y 1 fija inferior</t>
  </si>
  <si>
    <t>CASO 5: 1 hoja proyectante/abatible y 1 fija inferior</t>
  </si>
  <si>
    <t>CASO 6: 2 hojas corredera (ambas móviles)</t>
  </si>
  <si>
    <t>CASO 7: 2 hojas laterales proyectantes, abatibles</t>
  </si>
  <si>
    <t>w</t>
  </si>
  <si>
    <t>h</t>
  </si>
  <si>
    <t>junta apertura</t>
  </si>
  <si>
    <t>desplegable:</t>
  </si>
  <si>
    <r>
      <rPr>
        <b/>
        <sz val="11"/>
        <color theme="0"/>
        <rFont val="Calibri"/>
        <family val="2"/>
      </rPr>
      <t>Ψ</t>
    </r>
    <r>
      <rPr>
        <b/>
        <sz val="11"/>
        <color theme="0"/>
        <rFont val="Calibri"/>
        <family val="2"/>
        <scheme val="minor"/>
      </rPr>
      <t>g</t>
    </r>
  </si>
  <si>
    <t>descripción</t>
  </si>
  <si>
    <t>1 hoja proyectante/abatible y 1 fija lateral</t>
  </si>
  <si>
    <t>1 hoja guillotina y 1 fija inferior</t>
  </si>
  <si>
    <t>1 hoja proyectante/abatible y 1 fija inferior</t>
  </si>
  <si>
    <t>2 hojas corredera (ambas móviles)</t>
  </si>
  <si>
    <t>2 hojas laterales proyectantes, abatibles</t>
  </si>
  <si>
    <t>1 hoja corredera y 1 fija lateral</t>
  </si>
  <si>
    <t>1 hoja proyectante, abatible o fija</t>
  </si>
  <si>
    <t>Junta apertura</t>
  </si>
  <si>
    <t>proporción hoja móvil por defecto</t>
  </si>
  <si>
    <t>Simple</t>
  </si>
  <si>
    <t>2 hojas móviles laterales</t>
  </si>
  <si>
    <t>hr</t>
  </si>
  <si>
    <t>hs</t>
  </si>
  <si>
    <t>J/(kgK)</t>
  </si>
  <si>
    <t>W/(mK)</t>
  </si>
  <si>
    <t>kg/(ms)</t>
  </si>
  <si>
    <t>GAS INTERIOR EN 673</t>
  </si>
  <si>
    <r>
      <t>m</t>
    </r>
    <r>
      <rPr>
        <b/>
        <sz val="11"/>
        <color theme="0"/>
        <rFont val="Calibri"/>
        <family val="2"/>
      </rPr>
      <t>²</t>
    </r>
    <r>
      <rPr>
        <b/>
        <sz val="11"/>
        <color theme="0"/>
        <rFont val="Calibri"/>
        <family val="2"/>
        <scheme val="minor"/>
      </rPr>
      <t>K/W</t>
    </r>
  </si>
  <si>
    <t>Además se indica en porcentaje cuánto incide en el resultado las características térmicas del marco, del vidriado y del espaciador.</t>
  </si>
  <si>
    <t xml:space="preserve">La presente herramienta de cálculo ha sido preparada por la DITEC del MINVU basada en NCh3137-1.Of2008 con el objeto de facilitar la acreditación o verificación de cumplimiento de requisitos de transmitancia térmica de elementos de fachada como ventanas y puertas vidriadas utilizadas en vivienda, recintos de salud y/o educación, que no sean del tipo muro cortina.
</t>
  </si>
  <si>
    <t>Otra</t>
  </si>
  <si>
    <t>CASO 8: otro</t>
  </si>
  <si>
    <t>Tipo abertura:</t>
  </si>
  <si>
    <t>Transmitancia térmica marco, Uf:</t>
  </si>
  <si>
    <t>Valor usuario</t>
  </si>
  <si>
    <t>Uf usuario</t>
  </si>
  <si>
    <t>Ψg usuario</t>
  </si>
  <si>
    <t>Uf calc</t>
  </si>
  <si>
    <t>Ψg calc</t>
  </si>
  <si>
    <t>W/mK</t>
  </si>
  <si>
    <r>
      <t>W/m</t>
    </r>
    <r>
      <rPr>
        <sz val="11"/>
        <color theme="1"/>
        <rFont val="Calibri"/>
        <family val="2"/>
      </rPr>
      <t>²</t>
    </r>
    <r>
      <rPr>
        <sz val="11"/>
        <color theme="1"/>
        <rFont val="Calibri"/>
        <family val="2"/>
        <scheme val="minor"/>
      </rPr>
      <t>K</t>
    </r>
  </si>
  <si>
    <t>Transmitancia térmica lineal de la junta marco-vidrio, Ψg, obtenido de Anexo E (Normativo).</t>
  </si>
  <si>
    <t>Transmitancia térmica del marco, Uf, proporcionada por usuario (debe respaldar ensayo o cálculo).</t>
  </si>
  <si>
    <t>Cálculo térmico para ventanas según NCh 3137-1</t>
  </si>
  <si>
    <t>Transmitancia térmica lineal de la junta marco-vidrio, Ψg, proporcionada por usuario (debe respaldar cálculo según NCh3137/2).</t>
  </si>
  <si>
    <t>Alternativa 3:</t>
  </si>
  <si>
    <t>Factor de marco:</t>
  </si>
  <si>
    <t>Altura de marco:</t>
  </si>
  <si>
    <t>Por defecto</t>
  </si>
  <si>
    <t>Transmitancia térmica lineal marco-espaciador-vidrio, Ψg:</t>
  </si>
  <si>
    <t>Perímetro junta espaciador-marco-vidrio, lg:</t>
  </si>
  <si>
    <t>Proporción hoja móvil:</t>
  </si>
  <si>
    <t>Largo de junta operable:</t>
  </si>
  <si>
    <t>Ag usuario</t>
  </si>
  <si>
    <t>alto marco usuario</t>
  </si>
  <si>
    <t>Características generales:</t>
  </si>
  <si>
    <r>
      <t>Se debe indicar mediante listas desplegables el tipo de marco y vidriado de la ventana, los cuales harán aparecer nuevas opciones:
*En el caso de los marcos:
 -Al seleccionar el tipo "madera" se debe indicar la profundidad o el espesor total del marco. En caso de no ingresar un valor, se asumirá una profundidad de 50 mm. Para el cálculo se considera una madera "dura", de unos 700 kg/m</t>
    </r>
    <r>
      <rPr>
        <sz val="11"/>
        <color theme="1"/>
        <rFont val="Calibri"/>
        <family val="2"/>
      </rPr>
      <t>³, según la norma.</t>
    </r>
    <r>
      <rPr>
        <sz val="11"/>
        <color theme="1"/>
        <rFont val="Calibri"/>
        <family val="2"/>
        <scheme val="minor"/>
      </rPr>
      <t xml:space="preserve">
 -Al seleccionar "Metal con RPT" (RPT = rotura de puente térmico) se debe indicar la mínima separación entre las caras opuestas del perfil metálico que corresponda, tal como se explica en el Anexo D de la norma. En caso de no ingresar un valor, se asumirá una separación de 10 mm.
-Para el caso de marcos de PVC, se considerará un perfil hueco con dos cámaras vacías, con un ancho mínimo de 5 mm, según Anexo D de la norma.
*En el caso de vidrios:
-Al seleccionar vidrio simple, se debe indicar el espesor del vidrio y si es del tipo común o posee una lámina de baja emisividad
-En el caso de DVH (doble vidriado hermético), se deben indicar los espesores de ambos vidrios y el espesor del espaciador, así como si el vidrio es del tipo común o posee una lámina de baja emisividad. 
Al completar la información anterior la planilla obtendrá los valores por defecto de Transmitancia térmica del marco, vidrio y la transmitancia térmica lineal del efecto marco-espaciador-vidrio. Si el usuario dispone de cálculos o ensayos específicos puede ingresar valores en las casillas correspondientes. Del mismo modo, la planila estimará el perímetro de contacto entre el vidrio y el marco, en función de sus dimensiones, configuración y el tipo de cierre. No obstante, en aquellos casos donde la ventana tiene una configuración más compleja (por ejemplo una ventana compuesta por más de 2 paños), se permite ingresar un valor calculado por el usuario.</t>
    </r>
  </si>
  <si>
    <t>Se deben ingresar las dimensiones principales de la ventana en milímetros, con lo cual la planilla entregará la superficie total en metros cuadrados. Para indicar la proporción de marco y vidrio se presentan tres alternativas:
-Alternativa 1: Se ingresa directamente la superficie total de vidrio, en metros cuadrados. Se recomienda elegir esta alternativa en el caso de ventanas que se compongan de varios paños (por ej. 1 paño fijo inferior y 2 paños proyectantes superiores). La superficie de marco se determina restando a la superficie total la superficie de vidrio ingresada;
-Alternativa 2: Se ingresa el factor de marco, correspondiente a la razón entre la superficie de vidrio y la superficie total, de la cual se derivan las superficies de marco y de vidrio;
-Alternativa 3: Se ingresa la altura de marco vista en elevación. Al tratarse de ventanas donde una de las hojas es fija y la otra móvil, considerar la altura de marco como la del paño fijo. La planilla estima la superficie de vidrio en función de la configuración y tipo de apertura y con ella se deriva la superficie de marco.
Se debe seleccionar el tipo de configuración de ventana de entre las alternativas disponibles. Dependiendo de la opción de configuración elegida, el usuario debe seleccionar el tipo de cierre de entre las alternativas disponibles. Si posee una hoja fija y otra móvil, se permite ingresar la proporción aproximada que representa el paño con la hoja móvil respecto del total de la ventana (por defecto 50%) como se muestra a continuación: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</si>
</sst>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00.E+00"/>
    <numFmt numFmtId="166" formatCode="0.0"/>
  </numFmts>
  <fonts count="15" x14ac:knownFonts="1">
    <font>
      <sz val="11"/>
      <color theme="1"/>
      <name val="Calibri"/>
      <family val="2"/>
      <scheme val="minor"/>
    </font>
    <font>
      <sz val="11"/>
      <color theme="1"/>
      <name val="Calibri"/>
      <family val="2"/>
    </font>
    <font>
      <b/>
      <sz val="11"/>
      <color theme="1"/>
      <name val="Calibri"/>
      <family val="2"/>
      <scheme val="minor"/>
    </font>
    <font>
      <b/>
      <sz val="18"/>
      <color theme="1"/>
      <name val="Calibri"/>
      <family val="2"/>
      <scheme val="minor"/>
    </font>
    <font>
      <sz val="18"/>
      <color theme="1"/>
      <name val="Calibri"/>
      <family val="2"/>
      <scheme val="minor"/>
    </font>
    <font>
      <sz val="18"/>
      <color theme="1"/>
      <name val="Calibri"/>
      <family val="2"/>
    </font>
    <font>
      <b/>
      <sz val="18"/>
      <color theme="0"/>
      <name val="Calibri"/>
      <family val="2"/>
      <scheme val="minor"/>
    </font>
    <font>
      <b/>
      <sz val="10"/>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b/>
      <sz val="11"/>
      <color theme="0"/>
      <name val="Calibri"/>
      <family val="2"/>
    </font>
    <font>
      <sz val="10"/>
      <color theme="1"/>
      <name val="Calibri"/>
      <family val="2"/>
      <scheme val="minor"/>
    </font>
    <font>
      <b/>
      <sz val="11"/>
      <name val="Calibri"/>
      <family val="2"/>
      <scheme val="minor"/>
    </font>
    <font>
      <sz val="11"/>
      <name val="Calibri"/>
      <family val="2"/>
      <scheme val="minor"/>
    </font>
  </fonts>
  <fills count="11">
    <fill>
      <patternFill patternType="none"/>
    </fill>
    <fill>
      <patternFill patternType="gray125"/>
    </fill>
    <fill>
      <patternFill patternType="solid">
        <fgColor rgb="FFFFFF00"/>
        <bgColor indexed="64"/>
      </patternFill>
    </fill>
    <fill>
      <patternFill patternType="solid">
        <fgColor theme="4" tint="0.39997558519241921"/>
        <bgColor indexed="64"/>
      </patternFill>
    </fill>
    <fill>
      <patternFill patternType="solid">
        <fgColor theme="0"/>
        <bgColor indexed="64"/>
      </patternFill>
    </fill>
    <fill>
      <patternFill patternType="solid">
        <fgColor theme="5" tint="0.59999389629810485"/>
        <bgColor indexed="64"/>
      </patternFill>
    </fill>
    <fill>
      <patternFill patternType="solid">
        <fgColor theme="5"/>
        <bgColor indexed="64"/>
      </patternFill>
    </fill>
    <fill>
      <patternFill patternType="solid">
        <fgColor theme="1"/>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0" tint="-0.14999847407452621"/>
        <bgColor theme="0" tint="-0.14999847407452621"/>
      </patternFill>
    </fill>
  </fills>
  <borders count="2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theme="1"/>
      </top>
      <bottom style="thin">
        <color theme="1"/>
      </bottom>
      <diagonal/>
    </border>
    <border>
      <left/>
      <right/>
      <top/>
      <bottom style="thin">
        <color theme="1"/>
      </bottom>
      <diagonal/>
    </border>
  </borders>
  <cellStyleXfs count="2">
    <xf numFmtId="0" fontId="0" fillId="0" borderId="0"/>
    <xf numFmtId="9" fontId="8" fillId="0" borderId="0" applyFont="0" applyFill="0" applyBorder="0" applyAlignment="0" applyProtection="0"/>
  </cellStyleXfs>
  <cellXfs count="130">
    <xf numFmtId="0" fontId="0" fillId="0" borderId="0" xfId="0"/>
    <xf numFmtId="11" fontId="0" fillId="0" borderId="0" xfId="0" applyNumberFormat="1"/>
    <xf numFmtId="164" fontId="0" fillId="0" borderId="0" xfId="0" applyNumberFormat="1"/>
    <xf numFmtId="165" fontId="0" fillId="0" borderId="0" xfId="0" applyNumberFormat="1"/>
    <xf numFmtId="0" fontId="1" fillId="0" borderId="0" xfId="0" applyFont="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1" fillId="0" borderId="0" xfId="0" applyFont="1" applyAlignment="1">
      <alignment horizontal="right"/>
    </xf>
    <xf numFmtId="0" fontId="2" fillId="0" borderId="0" xfId="0" applyFont="1"/>
    <xf numFmtId="0" fontId="0" fillId="0" borderId="9" xfId="0" applyBorder="1"/>
    <xf numFmtId="0" fontId="0" fillId="2" borderId="0" xfId="0" applyFill="1"/>
    <xf numFmtId="0" fontId="0" fillId="2" borderId="4" xfId="0" applyFill="1" applyBorder="1"/>
    <xf numFmtId="0" fontId="1" fillId="2" borderId="4" xfId="0" applyFont="1" applyFill="1" applyBorder="1"/>
    <xf numFmtId="0" fontId="0" fillId="4" borderId="0" xfId="0" applyFill="1"/>
    <xf numFmtId="0" fontId="0" fillId="2" borderId="6" xfId="0" applyFill="1" applyBorder="1"/>
    <xf numFmtId="0" fontId="0" fillId="2" borderId="7" xfId="0" applyFill="1" applyBorder="1"/>
    <xf numFmtId="0" fontId="0" fillId="4" borderId="0" xfId="0" applyFill="1" applyProtection="1">
      <protection hidden="1"/>
    </xf>
    <xf numFmtId="0" fontId="2" fillId="4" borderId="0" xfId="0" applyFont="1" applyFill="1" applyProtection="1">
      <protection hidden="1"/>
    </xf>
    <xf numFmtId="0" fontId="2" fillId="4" borderId="0" xfId="0" applyFont="1" applyFill="1" applyAlignment="1" applyProtection="1">
      <alignment horizontal="left"/>
      <protection hidden="1"/>
    </xf>
    <xf numFmtId="0" fontId="7" fillId="4" borderId="0" xfId="0" applyFont="1" applyFill="1" applyAlignment="1" applyProtection="1">
      <alignment wrapText="1"/>
      <protection hidden="1"/>
    </xf>
    <xf numFmtId="0" fontId="0" fillId="4" borderId="11" xfId="0" applyFill="1" applyBorder="1" applyProtection="1">
      <protection hidden="1"/>
    </xf>
    <xf numFmtId="0" fontId="0" fillId="0" borderId="0" xfId="0" applyProtection="1">
      <protection hidden="1"/>
    </xf>
    <xf numFmtId="0" fontId="0" fillId="4" borderId="0" xfId="0" applyFill="1" applyAlignment="1">
      <alignment horizontal="left" vertical="top" wrapText="1"/>
    </xf>
    <xf numFmtId="0" fontId="0" fillId="2" borderId="5" xfId="0" applyFill="1" applyBorder="1"/>
    <xf numFmtId="0" fontId="0" fillId="2" borderId="8" xfId="0" applyFill="1" applyBorder="1"/>
    <xf numFmtId="0" fontId="0" fillId="2" borderId="0" xfId="0" quotePrefix="1" applyFill="1"/>
    <xf numFmtId="0" fontId="2" fillId="4" borderId="0" xfId="0" applyFont="1" applyFill="1" applyAlignment="1">
      <alignment horizontal="left" vertical="top"/>
    </xf>
    <xf numFmtId="0" fontId="0" fillId="4" borderId="0" xfId="0" applyFill="1" applyAlignment="1">
      <alignment horizontal="left" vertical="top"/>
    </xf>
    <xf numFmtId="0" fontId="9" fillId="7" borderId="1" xfId="0" applyFont="1" applyFill="1" applyBorder="1"/>
    <xf numFmtId="0" fontId="10" fillId="7" borderId="2" xfId="0" applyFont="1" applyFill="1" applyBorder="1"/>
    <xf numFmtId="0" fontId="10" fillId="7" borderId="3" xfId="0" applyFont="1" applyFill="1" applyBorder="1"/>
    <xf numFmtId="0" fontId="9" fillId="7" borderId="2" xfId="0" applyFont="1" applyFill="1" applyBorder="1"/>
    <xf numFmtId="0" fontId="9" fillId="7" borderId="3" xfId="0" applyFont="1" applyFill="1" applyBorder="1"/>
    <xf numFmtId="0" fontId="0" fillId="4" borderId="0" xfId="0" applyFill="1" applyAlignment="1">
      <alignment vertical="top" wrapText="1"/>
    </xf>
    <xf numFmtId="0" fontId="6" fillId="4" borderId="0" xfId="0" applyFont="1" applyFill="1" applyAlignment="1">
      <alignment horizontal="center"/>
    </xf>
    <xf numFmtId="0" fontId="0" fillId="7" borderId="3" xfId="0" applyFill="1" applyBorder="1"/>
    <xf numFmtId="0" fontId="0" fillId="0" borderId="11" xfId="0" applyBorder="1"/>
    <xf numFmtId="0" fontId="0" fillId="0" borderId="0" xfId="0" applyAlignment="1">
      <alignment horizontal="left"/>
    </xf>
    <xf numFmtId="0" fontId="0" fillId="0" borderId="0" xfId="0" applyAlignment="1">
      <alignment horizontal="left" vertical="top"/>
    </xf>
    <xf numFmtId="0" fontId="0" fillId="0" borderId="0" xfId="0" applyAlignment="1">
      <alignment vertical="top"/>
    </xf>
    <xf numFmtId="0" fontId="0" fillId="0" borderId="0" xfId="0" applyAlignment="1">
      <alignment horizontal="right"/>
    </xf>
    <xf numFmtId="0" fontId="0" fillId="0" borderId="4" xfId="0" applyBorder="1" applyAlignment="1">
      <alignment horizontal="right"/>
    </xf>
    <xf numFmtId="0" fontId="0" fillId="0" borderId="5" xfId="0" applyBorder="1" applyAlignment="1">
      <alignment horizontal="left"/>
    </xf>
    <xf numFmtId="164" fontId="0" fillId="0" borderId="5" xfId="0" applyNumberFormat="1" applyBorder="1" applyAlignment="1">
      <alignment horizontal="left"/>
    </xf>
    <xf numFmtId="2" fontId="0" fillId="0" borderId="7" xfId="0" applyNumberFormat="1" applyBorder="1"/>
    <xf numFmtId="0" fontId="9" fillId="7" borderId="16" xfId="0" applyFont="1" applyFill="1" applyBorder="1"/>
    <xf numFmtId="0" fontId="10" fillId="7" borderId="17" xfId="0" applyFont="1" applyFill="1" applyBorder="1"/>
    <xf numFmtId="2" fontId="9" fillId="7" borderId="17" xfId="0" applyNumberFormat="1" applyFont="1" applyFill="1" applyBorder="1"/>
    <xf numFmtId="0" fontId="9" fillId="7" borderId="17" xfId="0" applyFont="1" applyFill="1" applyBorder="1"/>
    <xf numFmtId="0" fontId="10" fillId="7" borderId="18" xfId="0" applyFont="1" applyFill="1" applyBorder="1"/>
    <xf numFmtId="0" fontId="0" fillId="4" borderId="0" xfId="0" applyFill="1" applyAlignment="1" applyProtection="1">
      <alignment horizontal="center"/>
      <protection hidden="1"/>
    </xf>
    <xf numFmtId="0" fontId="2" fillId="4" borderId="0" xfId="0" applyFont="1" applyFill="1" applyAlignment="1" applyProtection="1">
      <alignment horizontal="center"/>
      <protection hidden="1"/>
    </xf>
    <xf numFmtId="0" fontId="2" fillId="4" borderId="0" xfId="0" applyFont="1" applyFill="1" applyAlignment="1" applyProtection="1">
      <alignment vertical="center"/>
      <protection hidden="1"/>
    </xf>
    <xf numFmtId="0" fontId="12" fillId="4" borderId="0" xfId="0" applyFont="1" applyFill="1" applyProtection="1">
      <protection hidden="1"/>
    </xf>
    <xf numFmtId="0" fontId="9" fillId="0" borderId="0" xfId="0" applyFont="1"/>
    <xf numFmtId="0" fontId="9" fillId="0" borderId="5" xfId="0" applyFont="1" applyBorder="1"/>
    <xf numFmtId="0" fontId="13" fillId="0" borderId="4" xfId="0" applyFont="1" applyBorder="1"/>
    <xf numFmtId="0" fontId="14" fillId="0" borderId="0" xfId="0" applyFont="1"/>
    <xf numFmtId="0" fontId="2" fillId="0" borderId="4" xfId="0" applyFont="1" applyBorder="1"/>
    <xf numFmtId="0" fontId="0" fillId="10" borderId="20" xfId="0" applyFill="1" applyBorder="1"/>
    <xf numFmtId="0" fontId="2" fillId="4" borderId="0" xfId="0" applyFont="1" applyFill="1" applyAlignment="1" applyProtection="1">
      <alignment horizontal="right"/>
      <protection hidden="1"/>
    </xf>
    <xf numFmtId="0" fontId="0" fillId="4" borderId="0" xfId="0" applyFill="1" applyAlignment="1" applyProtection="1">
      <alignment vertical="center"/>
      <protection hidden="1"/>
    </xf>
    <xf numFmtId="0" fontId="7" fillId="4" borderId="0" xfId="0" applyFont="1" applyFill="1" applyProtection="1">
      <protection hidden="1"/>
    </xf>
    <xf numFmtId="0" fontId="2" fillId="4" borderId="0" xfId="0" applyFont="1" applyFill="1" applyAlignment="1" applyProtection="1">
      <alignment wrapText="1"/>
      <protection hidden="1"/>
    </xf>
    <xf numFmtId="0" fontId="12" fillId="4" borderId="11" xfId="0" applyFont="1" applyFill="1" applyBorder="1" applyProtection="1">
      <protection hidden="1"/>
    </xf>
    <xf numFmtId="0" fontId="0" fillId="4" borderId="0" xfId="0" applyFill="1" applyAlignment="1" applyProtection="1">
      <alignment vertical="center" wrapText="1"/>
      <protection hidden="1"/>
    </xf>
    <xf numFmtId="166" fontId="2" fillId="4" borderId="0" xfId="0" applyNumberFormat="1" applyFont="1" applyFill="1" applyProtection="1">
      <protection hidden="1"/>
    </xf>
    <xf numFmtId="0" fontId="2" fillId="0" borderId="19" xfId="0" applyFont="1" applyBorder="1" applyAlignment="1">
      <alignment horizontal="right"/>
    </xf>
    <xf numFmtId="0" fontId="0" fillId="10" borderId="0" xfId="0" applyFill="1"/>
    <xf numFmtId="0" fontId="0" fillId="4" borderId="0" xfId="0" applyFill="1" applyAlignment="1" applyProtection="1">
      <alignment horizontal="center"/>
      <protection locked="0"/>
    </xf>
    <xf numFmtId="0" fontId="13" fillId="0" borderId="0" xfId="0" applyFont="1"/>
    <xf numFmtId="0" fontId="0" fillId="0" borderId="0" xfId="0" applyAlignment="1">
      <alignment horizontal="center"/>
    </xf>
    <xf numFmtId="164" fontId="0" fillId="0" borderId="0" xfId="0" applyNumberFormat="1" applyAlignment="1">
      <alignment horizontal="center"/>
    </xf>
    <xf numFmtId="166" fontId="0" fillId="0" borderId="0" xfId="0" applyNumberFormat="1"/>
    <xf numFmtId="166" fontId="2" fillId="0" borderId="0" xfId="0" applyNumberFormat="1" applyFont="1"/>
    <xf numFmtId="0" fontId="0" fillId="4" borderId="0" xfId="0" applyFill="1" applyAlignment="1">
      <alignment horizontal="left" vertical="top" wrapText="1"/>
    </xf>
    <xf numFmtId="0" fontId="6" fillId="7" borderId="0" xfId="0" applyFont="1" applyFill="1" applyAlignment="1">
      <alignment horizontal="center"/>
    </xf>
    <xf numFmtId="0" fontId="0" fillId="4" borderId="0" xfId="0" applyFill="1"/>
    <xf numFmtId="0" fontId="0" fillId="9" borderId="0" xfId="0" applyFill="1" applyAlignment="1" applyProtection="1">
      <alignment horizontal="center"/>
      <protection hidden="1"/>
    </xf>
    <xf numFmtId="0" fontId="2" fillId="4" borderId="0" xfId="0" applyFont="1" applyFill="1" applyAlignment="1" applyProtection="1">
      <alignment horizontal="right"/>
      <protection hidden="1"/>
    </xf>
    <xf numFmtId="0" fontId="7" fillId="4" borderId="0" xfId="0" applyFont="1" applyFill="1" applyAlignment="1" applyProtection="1">
      <alignment horizontal="center"/>
      <protection hidden="1"/>
    </xf>
    <xf numFmtId="0" fontId="2" fillId="4" borderId="0" xfId="0" applyFont="1" applyFill="1" applyAlignment="1" applyProtection="1">
      <alignment horizontal="center" vertical="center"/>
      <protection hidden="1"/>
    </xf>
    <xf numFmtId="9" fontId="0" fillId="3" borderId="13" xfId="0" applyNumberFormat="1" applyFill="1" applyBorder="1" applyAlignment="1" applyProtection="1">
      <alignment horizontal="center"/>
      <protection locked="0"/>
    </xf>
    <xf numFmtId="0" fontId="2" fillId="4" borderId="0" xfId="0" applyFont="1" applyFill="1" applyAlignment="1" applyProtection="1">
      <alignment horizontal="right" vertical="center"/>
      <protection hidden="1"/>
    </xf>
    <xf numFmtId="9" fontId="0" fillId="9" borderId="0" xfId="1" applyFont="1" applyFill="1" applyAlignment="1" applyProtection="1">
      <alignment horizontal="center"/>
      <protection hidden="1"/>
    </xf>
    <xf numFmtId="0" fontId="0" fillId="3" borderId="13" xfId="0" applyFill="1" applyBorder="1" applyAlignment="1" applyProtection="1">
      <alignment horizontal="left"/>
      <protection locked="0"/>
    </xf>
    <xf numFmtId="0" fontId="0" fillId="9" borderId="0" xfId="0" applyFill="1" applyAlignment="1" applyProtection="1">
      <alignment horizontal="center" vertical="center"/>
      <protection hidden="1"/>
    </xf>
    <xf numFmtId="0" fontId="0" fillId="3" borderId="13" xfId="0" applyFill="1" applyBorder="1" applyAlignment="1" applyProtection="1">
      <alignment horizontal="center"/>
      <protection locked="0"/>
    </xf>
    <xf numFmtId="0" fontId="0" fillId="3" borderId="13" xfId="0" applyFill="1" applyBorder="1" applyAlignment="1" applyProtection="1">
      <alignment horizontal="center"/>
      <protection hidden="1"/>
    </xf>
    <xf numFmtId="0" fontId="0" fillId="4" borderId="0" xfId="0" applyFill="1" applyAlignment="1" applyProtection="1">
      <alignment horizontal="left"/>
      <protection hidden="1"/>
    </xf>
    <xf numFmtId="0" fontId="2" fillId="4" borderId="0" xfId="0" applyFont="1" applyFill="1" applyAlignment="1" applyProtection="1">
      <alignment horizontal="center"/>
      <protection hidden="1"/>
    </xf>
    <xf numFmtId="0" fontId="0" fillId="3" borderId="15" xfId="0" applyFill="1" applyBorder="1" applyAlignment="1" applyProtection="1">
      <alignment horizontal="center"/>
      <protection locked="0"/>
    </xf>
    <xf numFmtId="0" fontId="0" fillId="4" borderId="0" xfId="0" applyFill="1" applyAlignment="1" applyProtection="1">
      <alignment horizontal="center"/>
      <protection hidden="1"/>
    </xf>
    <xf numFmtId="166" fontId="4" fillId="9" borderId="0" xfId="0" applyNumberFormat="1" applyFont="1" applyFill="1" applyAlignment="1" applyProtection="1">
      <alignment horizontal="center" vertical="center" wrapText="1"/>
      <protection hidden="1"/>
    </xf>
    <xf numFmtId="0" fontId="4" fillId="4" borderId="0" xfId="0" applyFont="1" applyFill="1" applyAlignment="1" applyProtection="1">
      <alignment horizontal="center" vertical="center" wrapText="1"/>
      <protection hidden="1"/>
    </xf>
    <xf numFmtId="0" fontId="0" fillId="4" borderId="10" xfId="0" applyFill="1" applyBorder="1" applyAlignment="1" applyProtection="1">
      <alignment horizontal="left"/>
      <protection hidden="1"/>
    </xf>
    <xf numFmtId="0" fontId="0" fillId="4" borderId="11" xfId="0" applyFill="1" applyBorder="1" applyAlignment="1" applyProtection="1">
      <alignment horizontal="left"/>
      <protection hidden="1"/>
    </xf>
    <xf numFmtId="0" fontId="0" fillId="3" borderId="10" xfId="0" applyFill="1" applyBorder="1" applyAlignment="1" applyProtection="1">
      <alignment horizontal="left"/>
      <protection locked="0"/>
    </xf>
    <xf numFmtId="0" fontId="0" fillId="3" borderId="0" xfId="0" applyFill="1" applyAlignment="1" applyProtection="1">
      <alignment horizontal="left"/>
      <protection locked="0"/>
    </xf>
    <xf numFmtId="0" fontId="0" fillId="3" borderId="11" xfId="0" applyFill="1" applyBorder="1" applyAlignment="1" applyProtection="1">
      <alignment horizontal="left"/>
      <protection locked="0"/>
    </xf>
    <xf numFmtId="0" fontId="0" fillId="8" borderId="10" xfId="0" applyFill="1" applyBorder="1" applyAlignment="1" applyProtection="1">
      <alignment horizontal="center"/>
      <protection hidden="1"/>
    </xf>
    <xf numFmtId="0" fontId="0" fillId="8" borderId="0" xfId="0" applyFill="1" applyAlignment="1" applyProtection="1">
      <alignment horizontal="center"/>
      <protection hidden="1"/>
    </xf>
    <xf numFmtId="0" fontId="0" fillId="8" borderId="11" xfId="0" applyFill="1" applyBorder="1" applyAlignment="1" applyProtection="1">
      <alignment horizontal="center"/>
      <protection hidden="1"/>
    </xf>
    <xf numFmtId="0" fontId="6" fillId="7" borderId="0" xfId="0" applyFont="1" applyFill="1" applyAlignment="1" applyProtection="1">
      <alignment horizontal="center"/>
      <protection hidden="1"/>
    </xf>
    <xf numFmtId="0" fontId="2" fillId="5" borderId="0" xfId="0" applyFont="1" applyFill="1" applyAlignment="1" applyProtection="1">
      <alignment horizontal="center"/>
      <protection hidden="1"/>
    </xf>
    <xf numFmtId="0" fontId="2" fillId="4" borderId="0" xfId="0" applyFont="1" applyFill="1" applyProtection="1">
      <protection hidden="1"/>
    </xf>
    <xf numFmtId="0" fontId="2" fillId="4" borderId="14" xfId="0" applyFont="1" applyFill="1" applyBorder="1" applyAlignment="1" applyProtection="1">
      <alignment horizontal="center"/>
      <protection hidden="1"/>
    </xf>
    <xf numFmtId="0" fontId="2" fillId="4" borderId="13" xfId="0" applyFont="1" applyFill="1" applyBorder="1" applyAlignment="1" applyProtection="1">
      <alignment horizontal="center"/>
      <protection hidden="1"/>
    </xf>
    <xf numFmtId="0" fontId="2" fillId="4" borderId="12" xfId="0" applyFont="1" applyFill="1" applyBorder="1" applyAlignment="1" applyProtection="1">
      <alignment horizontal="center"/>
      <protection hidden="1"/>
    </xf>
    <xf numFmtId="0" fontId="2" fillId="4" borderId="13" xfId="0" applyFont="1" applyFill="1" applyBorder="1" applyAlignment="1" applyProtection="1">
      <alignment horizontal="left"/>
      <protection hidden="1"/>
    </xf>
    <xf numFmtId="0" fontId="2" fillId="4" borderId="12" xfId="0" applyFont="1" applyFill="1" applyBorder="1" applyAlignment="1" applyProtection="1">
      <alignment horizontal="left"/>
      <protection hidden="1"/>
    </xf>
    <xf numFmtId="166" fontId="0" fillId="9" borderId="0" xfId="0" applyNumberFormat="1" applyFill="1" applyAlignment="1" applyProtection="1">
      <alignment horizontal="center" vertical="center"/>
      <protection hidden="1"/>
    </xf>
    <xf numFmtId="0" fontId="0" fillId="4" borderId="0" xfId="0" applyFill="1" applyAlignment="1" applyProtection="1">
      <alignment horizontal="left" vertical="top" wrapText="1"/>
      <protection hidden="1"/>
    </xf>
    <xf numFmtId="9" fontId="0" fillId="4" borderId="0" xfId="1" applyFont="1" applyFill="1" applyAlignment="1" applyProtection="1">
      <alignment horizontal="left"/>
      <protection hidden="1"/>
    </xf>
    <xf numFmtId="9" fontId="0" fillId="4" borderId="0" xfId="1" applyFont="1" applyFill="1" applyAlignment="1" applyProtection="1">
      <alignment horizontal="right"/>
      <protection hidden="1"/>
    </xf>
    <xf numFmtId="0" fontId="0" fillId="4" borderId="0" xfId="0" applyFill="1" applyProtection="1">
      <protection hidden="1"/>
    </xf>
    <xf numFmtId="2" fontId="4" fillId="9" borderId="0" xfId="0" applyNumberFormat="1" applyFont="1" applyFill="1" applyAlignment="1" applyProtection="1">
      <alignment horizontal="center" vertical="center" wrapText="1"/>
      <protection hidden="1"/>
    </xf>
    <xf numFmtId="0" fontId="0" fillId="9" borderId="15" xfId="0" applyFill="1" applyBorder="1" applyAlignment="1" applyProtection="1">
      <alignment horizontal="center"/>
      <protection hidden="1"/>
    </xf>
    <xf numFmtId="0" fontId="3" fillId="4" borderId="0" xfId="0" applyFont="1" applyFill="1" applyAlignment="1" applyProtection="1">
      <alignment horizontal="center" vertical="center" wrapText="1"/>
      <protection hidden="1"/>
    </xf>
    <xf numFmtId="166" fontId="3" fillId="6" borderId="0" xfId="0" applyNumberFormat="1" applyFont="1" applyFill="1" applyAlignment="1" applyProtection="1">
      <alignment horizontal="center" vertical="center" wrapText="1"/>
      <protection hidden="1"/>
    </xf>
    <xf numFmtId="0" fontId="0" fillId="3" borderId="10" xfId="0" applyFill="1" applyBorder="1" applyProtection="1">
      <protection hidden="1"/>
    </xf>
    <xf numFmtId="0" fontId="0" fillId="3" borderId="0" xfId="0" applyFill="1" applyProtection="1">
      <protection hidden="1"/>
    </xf>
    <xf numFmtId="0" fontId="0" fillId="3" borderId="10" xfId="0" applyFill="1" applyBorder="1" applyProtection="1">
      <protection locked="0"/>
    </xf>
    <xf numFmtId="0" fontId="0" fillId="3" borderId="0" xfId="0" applyFill="1" applyProtection="1">
      <protection locked="0"/>
    </xf>
    <xf numFmtId="0" fontId="2" fillId="4" borderId="0" xfId="0" applyFont="1" applyFill="1" applyAlignment="1" applyProtection="1">
      <alignment horizontal="left" wrapText="1"/>
      <protection hidden="1"/>
    </xf>
    <xf numFmtId="0" fontId="0" fillId="9" borderId="13" xfId="0" applyFill="1" applyBorder="1" applyAlignment="1" applyProtection="1">
      <alignment horizontal="center"/>
      <protection hidden="1"/>
    </xf>
    <xf numFmtId="2" fontId="0" fillId="3" borderId="15" xfId="0" applyNumberFormat="1" applyFill="1" applyBorder="1" applyAlignment="1" applyProtection="1">
      <alignment horizontal="center"/>
      <protection locked="0"/>
    </xf>
  </cellXfs>
  <cellStyles count="2">
    <cellStyle name="Normal" xfId="0" builtinId="0"/>
    <cellStyle name="Porcentaje" xfId="1" builtinId="5"/>
  </cellStyles>
  <dxfs count="27">
    <dxf>
      <font>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bgColor theme="0"/>
        </patternFill>
      </fill>
      <border>
        <bottom/>
      </border>
    </dxf>
    <dxf>
      <font>
        <color theme="0"/>
      </font>
      <fill>
        <patternFill>
          <bgColor theme="0"/>
        </patternFill>
      </fill>
      <border>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bgColor theme="0"/>
        </patternFill>
      </fill>
      <border>
        <bottom/>
        <vertical/>
        <horizontal/>
      </border>
    </dxf>
    <dxf>
      <font>
        <color theme="0"/>
      </font>
      <fill>
        <patternFill>
          <bgColor theme="0"/>
        </patternFill>
      </fill>
      <border>
        <bottom/>
        <vertical/>
        <horizontal/>
      </border>
    </dxf>
    <dxf>
      <font>
        <color theme="0"/>
      </font>
      <fill>
        <patternFill>
          <bgColor theme="0"/>
        </patternFill>
      </fill>
      <border>
        <left/>
        <right/>
        <top/>
        <bottom/>
        <vertical/>
        <horizontal/>
      </border>
    </dxf>
    <dxf>
      <numFmt numFmtId="165" formatCode="0.000.E+00"/>
    </dxf>
    <dxf>
      <numFmt numFmtId="165" formatCode="0.000.E+00"/>
    </dxf>
    <dxf>
      <numFmt numFmtId="165" formatCode="0.000.E+00"/>
    </dxf>
    <dxf>
      <numFmt numFmtId="164" formatCode="0.000"/>
    </dxf>
    <dxf>
      <numFmt numFmtId="165" formatCode="0.000.E+00"/>
    </dxf>
    <dxf>
      <font>
        <b val="0"/>
        <i val="0"/>
        <strike val="0"/>
        <condense val="0"/>
        <extend val="0"/>
        <outline val="0"/>
        <shadow val="0"/>
        <u val="none"/>
        <vertAlign val="baseline"/>
        <sz val="11"/>
        <color theme="1"/>
        <name val="Calibri"/>
        <family val="2"/>
        <scheme val="minor"/>
      </font>
      <fill>
        <patternFill patternType="solid">
          <fgColor theme="0" tint="-0.14999847407452621"/>
          <bgColor theme="0" tint="-0.14999847407452621"/>
        </patternFill>
      </fill>
    </dxf>
    <dxf>
      <border outline="0">
        <left style="medium">
          <color indexed="64"/>
        </left>
        <right style="medium">
          <color indexed="64"/>
        </right>
      </border>
    </dxf>
    <dxf>
      <numFmt numFmtId="164" formatCode="0.000"/>
      <alignment horizontal="left" vertical="bottom" textRotation="0" wrapText="0" indent="0" justifyLastLine="0" shrinkToFit="0" readingOrder="0"/>
    </dxf>
    <dxf>
      <numFmt numFmtId="164" formatCode="0.000"/>
      <alignment horizontal="center" vertical="bottom" textRotation="0" wrapText="0" indent="0" justifyLastLine="0" shrinkToFit="0" readingOrder="0"/>
    </dxf>
    <dxf>
      <numFmt numFmtId="164" formatCode="0.000"/>
      <alignment horizontal="center" vertical="bottom" textRotation="0" wrapText="0" indent="0" justifyLastLine="0" shrinkToFit="0" readingOrder="0"/>
    </dxf>
    <dxf>
      <numFmt numFmtId="164" formatCode="0.000"/>
      <alignment horizontal="center" vertical="bottom" textRotation="0" wrapText="0" indent="0" justifyLastLine="0" shrinkToFit="0" readingOrder="0"/>
    </dxf>
    <dxf>
      <numFmt numFmtId="164" formatCode="0.000"/>
      <alignment horizontal="center" vertical="bottom" textRotation="0" wrapText="0" indent="0" justifyLastLine="0" shrinkToFit="0" readingOrder="0"/>
    </dxf>
    <dxf>
      <numFmt numFmtId="164" formatCode="0.000"/>
      <alignment horizontal="center" vertical="bottom" textRotation="0" wrapText="0" indent="0" justifyLastLine="0" shrinkToFit="0" readingOrder="0"/>
    </dxf>
    <dxf>
      <fill>
        <patternFill patternType="none">
          <fgColor indexed="64"/>
          <bgColor indexed="65"/>
        </patternFill>
      </fill>
    </dxf>
    <dxf>
      <border outline="0">
        <left style="medium">
          <color indexed="64"/>
        </left>
      </border>
    </dxf>
    <dxf>
      <alignment horizontal="center" vertical="bottom" textRotation="0" wrapText="0" indent="0" justifyLastLine="0" shrinkToFit="0" readingOrder="0"/>
    </dxf>
    <dxf>
      <fill>
        <patternFill patternType="none">
          <fgColor indexed="64"/>
          <bgColor indexed="65"/>
        </patternFill>
      </fill>
      <alignment horizontal="center"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L"/>
              <a:t>Marcos de</a:t>
            </a:r>
            <a:r>
              <a:rPr lang="es-CL" baseline="0"/>
              <a:t> madera y madera-metal, humedad 12%</a:t>
            </a:r>
            <a:endParaRPr lang="es-CL"/>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L"/>
        </a:p>
      </c:txPr>
    </c:title>
    <c:autoTitleDeleted val="0"/>
    <c:plotArea>
      <c:layout/>
      <c:scatterChart>
        <c:scatterStyle val="smoothMarker"/>
        <c:varyColors val="0"/>
        <c:ser>
          <c:idx val="1"/>
          <c:order val="0"/>
          <c:tx>
            <c:v>madera dura</c:v>
          </c:tx>
          <c:spPr>
            <a:ln w="19050" cap="rnd">
              <a:noFill/>
              <a:round/>
            </a:ln>
            <a:effectLst/>
          </c:spPr>
          <c:marker>
            <c:symbol val="circle"/>
            <c:size val="5"/>
            <c:spPr>
              <a:noFill/>
              <a:ln w="9525">
                <a:noFill/>
              </a:ln>
              <a:effectLst/>
            </c:spPr>
          </c:marker>
          <c:trendline>
            <c:spPr>
              <a:ln w="19050" cap="rnd">
                <a:solidFill>
                  <a:schemeClr val="tx1"/>
                </a:solidFill>
                <a:prstDash val="solid"/>
              </a:ln>
              <a:effectLst/>
            </c:spPr>
            <c:trendlineType val="poly"/>
            <c:order val="2"/>
            <c:dispRSqr val="1"/>
            <c:dispEq val="1"/>
            <c:trendlineLbl>
              <c:layout>
                <c:manualLayout>
                  <c:x val="-0.10027476500361533"/>
                  <c:y val="-0.30019483413629899"/>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trendlineLbl>
          </c:trendline>
          <c:xVal>
            <c:numRef>
              <c:f>Aux!$J$34:$J$39</c:f>
              <c:numCache>
                <c:formatCode>General</c:formatCode>
                <c:ptCount val="6"/>
                <c:pt idx="0">
                  <c:v>30</c:v>
                </c:pt>
                <c:pt idx="1">
                  <c:v>50</c:v>
                </c:pt>
                <c:pt idx="2">
                  <c:v>95</c:v>
                </c:pt>
                <c:pt idx="3">
                  <c:v>115</c:v>
                </c:pt>
                <c:pt idx="4">
                  <c:v>140</c:v>
                </c:pt>
                <c:pt idx="5">
                  <c:v>170</c:v>
                </c:pt>
              </c:numCache>
            </c:numRef>
          </c:xVal>
          <c:yVal>
            <c:numRef>
              <c:f>Aux!$K$34:$K$39</c:f>
              <c:numCache>
                <c:formatCode>General</c:formatCode>
                <c:ptCount val="6"/>
                <c:pt idx="0">
                  <c:v>2.7</c:v>
                </c:pt>
                <c:pt idx="1">
                  <c:v>2.4</c:v>
                </c:pt>
                <c:pt idx="2">
                  <c:v>1.8</c:v>
                </c:pt>
                <c:pt idx="3">
                  <c:v>1.6</c:v>
                </c:pt>
                <c:pt idx="4">
                  <c:v>1.4</c:v>
                </c:pt>
                <c:pt idx="5">
                  <c:v>1.2</c:v>
                </c:pt>
              </c:numCache>
            </c:numRef>
          </c:yVal>
          <c:smooth val="1"/>
          <c:extLst>
            <c:ext xmlns:c16="http://schemas.microsoft.com/office/drawing/2014/chart" uri="{C3380CC4-5D6E-409C-BE32-E72D297353CC}">
              <c16:uniqueId val="{00000001-0B9A-4751-9D65-C8B547B7462E}"/>
            </c:ext>
          </c:extLst>
        </c:ser>
        <c:ser>
          <c:idx val="0"/>
          <c:order val="1"/>
          <c:tx>
            <c:v>madera blanda</c:v>
          </c:tx>
          <c:spPr>
            <a:ln w="19050" cap="rnd">
              <a:noFill/>
              <a:round/>
            </a:ln>
            <a:effectLst/>
          </c:spPr>
          <c:marker>
            <c:symbol val="circle"/>
            <c:size val="5"/>
            <c:spPr>
              <a:noFill/>
              <a:ln w="9525">
                <a:noFill/>
              </a:ln>
              <a:effectLst/>
            </c:spPr>
          </c:marker>
          <c:trendline>
            <c:spPr>
              <a:ln w="19050" cap="rnd" cmpd="sng">
                <a:solidFill>
                  <a:schemeClr val="tx1"/>
                </a:solidFill>
                <a:prstDash val="lgDash"/>
              </a:ln>
              <a:effectLst/>
            </c:spPr>
            <c:trendlineType val="poly"/>
            <c:order val="2"/>
            <c:dispRSqr val="1"/>
            <c:dispEq val="1"/>
            <c:trendlineLbl>
              <c:layout>
                <c:manualLayout>
                  <c:x val="-0.46698481561822125"/>
                  <c:y val="-5.6159772481270027E-2"/>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trendlineLbl>
          </c:trendline>
          <c:xVal>
            <c:numRef>
              <c:f>Aux!$M$34:$M$39</c:f>
              <c:numCache>
                <c:formatCode>General</c:formatCode>
                <c:ptCount val="6"/>
                <c:pt idx="0">
                  <c:v>30</c:v>
                </c:pt>
                <c:pt idx="1">
                  <c:v>50</c:v>
                </c:pt>
                <c:pt idx="2">
                  <c:v>110</c:v>
                </c:pt>
                <c:pt idx="3">
                  <c:v>120</c:v>
                </c:pt>
                <c:pt idx="4">
                  <c:v>150</c:v>
                </c:pt>
                <c:pt idx="5">
                  <c:v>169</c:v>
                </c:pt>
              </c:numCache>
            </c:numRef>
          </c:xVal>
          <c:yVal>
            <c:numRef>
              <c:f>Aux!$N$34:$N$39</c:f>
              <c:numCache>
                <c:formatCode>General</c:formatCode>
                <c:ptCount val="6"/>
                <c:pt idx="0">
                  <c:v>2.2999999999999998</c:v>
                </c:pt>
                <c:pt idx="1">
                  <c:v>2.02</c:v>
                </c:pt>
                <c:pt idx="2">
                  <c:v>1.38</c:v>
                </c:pt>
                <c:pt idx="3">
                  <c:v>1.3</c:v>
                </c:pt>
                <c:pt idx="4">
                  <c:v>1.1000000000000001</c:v>
                </c:pt>
                <c:pt idx="5">
                  <c:v>1</c:v>
                </c:pt>
              </c:numCache>
            </c:numRef>
          </c:yVal>
          <c:smooth val="1"/>
          <c:extLst>
            <c:ext xmlns:c16="http://schemas.microsoft.com/office/drawing/2014/chart" uri="{C3380CC4-5D6E-409C-BE32-E72D297353CC}">
              <c16:uniqueId val="{00000000-0B9A-4751-9D65-C8B547B7462E}"/>
            </c:ext>
          </c:extLst>
        </c:ser>
        <c:dLbls>
          <c:showLegendKey val="0"/>
          <c:showVal val="0"/>
          <c:showCatName val="0"/>
          <c:showSerName val="0"/>
          <c:showPercent val="0"/>
          <c:showBubbleSize val="0"/>
        </c:dLbls>
        <c:axId val="605355096"/>
        <c:axId val="605357064"/>
      </c:scatterChart>
      <c:valAx>
        <c:axId val="605355096"/>
        <c:scaling>
          <c:orientation val="minMax"/>
          <c:max val="170"/>
          <c:min val="0"/>
        </c:scaling>
        <c:delete val="0"/>
        <c:axPos val="b"/>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L"/>
                  <a:t>espesor del marco en mm</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L"/>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crossAx val="605357064"/>
        <c:crosses val="autoZero"/>
        <c:crossBetween val="midCat"/>
        <c:majorUnit val="50"/>
      </c:valAx>
      <c:valAx>
        <c:axId val="605357064"/>
        <c:scaling>
          <c:orientation val="minMax"/>
          <c:max val="3"/>
          <c:min val="1"/>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L"/>
                  <a:t>Transmitancia térmica marco, Uf</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L"/>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crossAx val="605355096"/>
        <c:crosses val="autoZero"/>
        <c:crossBetween val="midCat"/>
        <c:majorUnit val="1"/>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Marco</a:t>
            </a:r>
            <a:r>
              <a:rPr lang="en-US" baseline="0"/>
              <a:t> metálico con RPT</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L"/>
        </a:p>
      </c:txPr>
    </c:title>
    <c:autoTitleDeleted val="0"/>
    <c:plotArea>
      <c:layout/>
      <c:scatterChart>
        <c:scatterStyle val="smoothMarker"/>
        <c:varyColors val="0"/>
        <c:ser>
          <c:idx val="0"/>
          <c:order val="0"/>
          <c:tx>
            <c:v>lím inferior</c:v>
          </c:tx>
          <c:spPr>
            <a:ln w="19050" cap="rnd">
              <a:noFill/>
              <a:round/>
            </a:ln>
            <a:effectLst/>
          </c:spPr>
          <c:marker>
            <c:symbol val="none"/>
          </c:marker>
          <c:trendline>
            <c:spPr>
              <a:ln w="19050" cap="rnd">
                <a:solidFill>
                  <a:schemeClr val="tx1"/>
                </a:solidFill>
                <a:prstDash val="solid"/>
              </a:ln>
              <a:effectLst/>
            </c:spPr>
            <c:trendlineType val="poly"/>
            <c:order val="4"/>
            <c:dispRSqr val="1"/>
            <c:dispEq val="1"/>
            <c:trendlineLbl>
              <c:layout>
                <c:manualLayout>
                  <c:x val="1.8317433878457502E-2"/>
                  <c:y val="0.2881000291630213"/>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trendlineLbl>
          </c:trendline>
          <c:xVal>
            <c:numRef>
              <c:f>Aux!$C$51:$C$55</c:f>
              <c:numCache>
                <c:formatCode>General</c:formatCode>
                <c:ptCount val="5"/>
                <c:pt idx="0">
                  <c:v>0</c:v>
                </c:pt>
                <c:pt idx="1">
                  <c:v>8</c:v>
                </c:pt>
                <c:pt idx="2">
                  <c:v>22</c:v>
                </c:pt>
                <c:pt idx="3">
                  <c:v>32</c:v>
                </c:pt>
                <c:pt idx="4">
                  <c:v>36</c:v>
                </c:pt>
              </c:numCache>
            </c:numRef>
          </c:xVal>
          <c:yVal>
            <c:numRef>
              <c:f>Aux!$D$51:$D$55</c:f>
              <c:numCache>
                <c:formatCode>General</c:formatCode>
                <c:ptCount val="5"/>
                <c:pt idx="0">
                  <c:v>0</c:v>
                </c:pt>
                <c:pt idx="1">
                  <c:v>0.11</c:v>
                </c:pt>
                <c:pt idx="2">
                  <c:v>0.2</c:v>
                </c:pt>
                <c:pt idx="3">
                  <c:v>0.22500000000000001</c:v>
                </c:pt>
                <c:pt idx="4">
                  <c:v>0.23</c:v>
                </c:pt>
              </c:numCache>
            </c:numRef>
          </c:yVal>
          <c:smooth val="1"/>
          <c:extLst>
            <c:ext xmlns:c16="http://schemas.microsoft.com/office/drawing/2014/chart" uri="{C3380CC4-5D6E-409C-BE32-E72D297353CC}">
              <c16:uniqueId val="{00000000-AD87-4783-B900-D09BE7955201}"/>
            </c:ext>
          </c:extLst>
        </c:ser>
        <c:ser>
          <c:idx val="1"/>
          <c:order val="1"/>
          <c:tx>
            <c:v>lím superior</c:v>
          </c:tx>
          <c:spPr>
            <a:ln w="25400" cap="rnd">
              <a:noFill/>
              <a:round/>
            </a:ln>
            <a:effectLst/>
          </c:spPr>
          <c:marker>
            <c:symbol val="none"/>
          </c:marker>
          <c:trendline>
            <c:spPr>
              <a:ln w="19050" cap="rnd">
                <a:solidFill>
                  <a:schemeClr val="tx1"/>
                </a:solidFill>
                <a:prstDash val="lgDashDot"/>
              </a:ln>
              <a:effectLst/>
            </c:spPr>
            <c:trendlineType val="poly"/>
            <c:order val="4"/>
            <c:dispRSqr val="1"/>
            <c:dispEq val="1"/>
            <c:trendlineLbl>
              <c:layout>
                <c:manualLayout>
                  <c:x val="-0.17169871794871794"/>
                  <c:y val="-1.4305555555555556E-2"/>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trendlineLbl>
          </c:trendline>
          <c:xVal>
            <c:numRef>
              <c:f>Aux!$F$51:$F$55</c:f>
              <c:numCache>
                <c:formatCode>General</c:formatCode>
                <c:ptCount val="5"/>
                <c:pt idx="0">
                  <c:v>0</c:v>
                </c:pt>
                <c:pt idx="1">
                  <c:v>12</c:v>
                </c:pt>
                <c:pt idx="2">
                  <c:v>20</c:v>
                </c:pt>
                <c:pt idx="3">
                  <c:v>29</c:v>
                </c:pt>
                <c:pt idx="4">
                  <c:v>36</c:v>
                </c:pt>
              </c:numCache>
            </c:numRef>
          </c:xVal>
          <c:yVal>
            <c:numRef>
              <c:f>Aux!$G$51:$G$55</c:f>
              <c:numCache>
                <c:formatCode>General</c:formatCode>
                <c:ptCount val="5"/>
                <c:pt idx="0">
                  <c:v>0</c:v>
                </c:pt>
                <c:pt idx="1">
                  <c:v>0.22500000000000001</c:v>
                </c:pt>
                <c:pt idx="2">
                  <c:v>0.3</c:v>
                </c:pt>
                <c:pt idx="3">
                  <c:v>0.35</c:v>
                </c:pt>
                <c:pt idx="4">
                  <c:v>0.36599999999999999</c:v>
                </c:pt>
              </c:numCache>
            </c:numRef>
          </c:yVal>
          <c:smooth val="1"/>
          <c:extLst>
            <c:ext xmlns:c16="http://schemas.microsoft.com/office/drawing/2014/chart" uri="{C3380CC4-5D6E-409C-BE32-E72D297353CC}">
              <c16:uniqueId val="{00000002-AD87-4783-B900-D09BE7955201}"/>
            </c:ext>
          </c:extLst>
        </c:ser>
        <c:dLbls>
          <c:showLegendKey val="0"/>
          <c:showVal val="0"/>
          <c:showCatName val="0"/>
          <c:showSerName val="0"/>
          <c:showPercent val="0"/>
          <c:showBubbleSize val="0"/>
        </c:dLbls>
        <c:axId val="952619647"/>
        <c:axId val="952620063"/>
      </c:scatterChart>
      <c:valAx>
        <c:axId val="952619647"/>
        <c:scaling>
          <c:orientation val="minMax"/>
          <c:max val="36"/>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menor</a:t>
                </a:r>
                <a:r>
                  <a:rPr lang="es-ES" baseline="0"/>
                  <a:t> distancia d entre secciones metálicas opuestas, mm</a:t>
                </a:r>
                <a:endParaRPr lang="es-ES"/>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L"/>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crossAx val="952620063"/>
        <c:crosses val="autoZero"/>
        <c:crossBetween val="midCat"/>
        <c:majorUnit val="4"/>
      </c:valAx>
      <c:valAx>
        <c:axId val="952620063"/>
        <c:scaling>
          <c:orientation val="minMax"/>
          <c:max val="0.4"/>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Resistencia térmica del marco</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L"/>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crossAx val="952619647"/>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Radio" checked="Checked" firstButton="1" fmlaLink="Cálculos!$B$9"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GBox" noThreeD="1"/>
</file>

<file path=xl/drawings/_rels/drawing3.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8</xdr:col>
      <xdr:colOff>104775</xdr:colOff>
      <xdr:row>69</xdr:row>
      <xdr:rowOff>142875</xdr:rowOff>
    </xdr:from>
    <xdr:ext cx="2080378" cy="476284"/>
    <mc:AlternateContent xmlns:mc="http://schemas.openxmlformats.org/markup-compatibility/2006" xmlns:a14="http://schemas.microsoft.com/office/drawing/2010/main">
      <mc:Choice Requires="a14">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1533525" y="9010650"/>
              <a:ext cx="2080378" cy="47628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s-CL" sz="1400" i="1">
                            <a:latin typeface="Cambria Math" panose="02040503050406030204" pitchFamily="18" charset="0"/>
                          </a:rPr>
                        </m:ctrlPr>
                      </m:sSubPr>
                      <m:e>
                        <m:r>
                          <a:rPr lang="es-CL" sz="1400" b="0" i="1">
                            <a:latin typeface="Cambria Math" panose="02040503050406030204" pitchFamily="18" charset="0"/>
                          </a:rPr>
                          <m:t>𝑈</m:t>
                        </m:r>
                      </m:e>
                      <m:sub>
                        <m:r>
                          <a:rPr lang="es-CL" sz="1400" b="0" i="1">
                            <a:latin typeface="Cambria Math" panose="02040503050406030204" pitchFamily="18" charset="0"/>
                          </a:rPr>
                          <m:t>𝑤</m:t>
                        </m:r>
                      </m:sub>
                    </m:sSub>
                    <m:r>
                      <a:rPr lang="es-CL" sz="1400" b="0" i="1">
                        <a:latin typeface="Cambria Math" panose="02040503050406030204" pitchFamily="18" charset="0"/>
                      </a:rPr>
                      <m:t>=</m:t>
                    </m:r>
                    <m:f>
                      <m:fPr>
                        <m:ctrlPr>
                          <a:rPr lang="es-CL" sz="1400" b="0" i="1">
                            <a:latin typeface="Cambria Math" panose="02040503050406030204" pitchFamily="18" charset="0"/>
                          </a:rPr>
                        </m:ctrlPr>
                      </m:fPr>
                      <m:num>
                        <m:sSub>
                          <m:sSubPr>
                            <m:ctrlPr>
                              <a:rPr lang="es-CL" sz="1400" i="1">
                                <a:solidFill>
                                  <a:schemeClr val="tx1"/>
                                </a:solidFill>
                                <a:effectLst/>
                                <a:latin typeface="Cambria Math" panose="02040503050406030204" pitchFamily="18" charset="0"/>
                                <a:ea typeface="+mn-ea"/>
                                <a:cs typeface="+mn-cs"/>
                              </a:rPr>
                            </m:ctrlPr>
                          </m:sSubPr>
                          <m:e>
                            <m:r>
                              <a:rPr lang="es-CL" sz="1400" b="0" i="1">
                                <a:solidFill>
                                  <a:schemeClr val="tx1"/>
                                </a:solidFill>
                                <a:effectLst/>
                                <a:latin typeface="Cambria Math" panose="02040503050406030204" pitchFamily="18" charset="0"/>
                                <a:ea typeface="+mn-ea"/>
                                <a:cs typeface="+mn-cs"/>
                              </a:rPr>
                              <m:t>𝑈</m:t>
                            </m:r>
                          </m:e>
                          <m:sub>
                            <m:r>
                              <a:rPr lang="es-CL" sz="1400" b="0" i="1">
                                <a:solidFill>
                                  <a:schemeClr val="tx1"/>
                                </a:solidFill>
                                <a:effectLst/>
                                <a:latin typeface="Cambria Math" panose="02040503050406030204" pitchFamily="18" charset="0"/>
                                <a:ea typeface="+mn-ea"/>
                                <a:cs typeface="+mn-cs"/>
                              </a:rPr>
                              <m:t>𝑓</m:t>
                            </m:r>
                          </m:sub>
                        </m:sSub>
                        <m:sSub>
                          <m:sSubPr>
                            <m:ctrlPr>
                              <a:rPr lang="es-CL" sz="1400" i="1">
                                <a:solidFill>
                                  <a:schemeClr val="tx1"/>
                                </a:solidFill>
                                <a:effectLst/>
                                <a:latin typeface="Cambria Math" panose="02040503050406030204" pitchFamily="18" charset="0"/>
                                <a:ea typeface="+mn-ea"/>
                                <a:cs typeface="+mn-cs"/>
                              </a:rPr>
                            </m:ctrlPr>
                          </m:sSubPr>
                          <m:e>
                            <m:r>
                              <a:rPr lang="es-CL" sz="1400" b="0" i="1">
                                <a:solidFill>
                                  <a:schemeClr val="tx1"/>
                                </a:solidFill>
                                <a:effectLst/>
                                <a:latin typeface="Cambria Math" panose="02040503050406030204" pitchFamily="18" charset="0"/>
                                <a:ea typeface="+mn-ea"/>
                                <a:cs typeface="+mn-cs"/>
                              </a:rPr>
                              <m:t>𝐴</m:t>
                            </m:r>
                          </m:e>
                          <m:sub>
                            <m:r>
                              <a:rPr lang="es-CL" sz="1400" b="0" i="1">
                                <a:solidFill>
                                  <a:schemeClr val="tx1"/>
                                </a:solidFill>
                                <a:effectLst/>
                                <a:latin typeface="Cambria Math" panose="02040503050406030204" pitchFamily="18" charset="0"/>
                                <a:ea typeface="+mn-ea"/>
                                <a:cs typeface="+mn-cs"/>
                              </a:rPr>
                              <m:t>𝑓</m:t>
                            </m:r>
                          </m:sub>
                        </m:sSub>
                        <m:r>
                          <a:rPr lang="es-CL" sz="1400" b="0" i="1">
                            <a:solidFill>
                              <a:schemeClr val="tx1"/>
                            </a:solidFill>
                            <a:effectLst/>
                            <a:latin typeface="Cambria Math" panose="02040503050406030204" pitchFamily="18" charset="0"/>
                            <a:ea typeface="+mn-ea"/>
                            <a:cs typeface="+mn-cs"/>
                          </a:rPr>
                          <m:t>+</m:t>
                        </m:r>
                        <m:sSub>
                          <m:sSubPr>
                            <m:ctrlPr>
                              <a:rPr lang="es-CL" sz="1400" i="1">
                                <a:solidFill>
                                  <a:schemeClr val="tx1"/>
                                </a:solidFill>
                                <a:effectLst/>
                                <a:latin typeface="Cambria Math" panose="02040503050406030204" pitchFamily="18" charset="0"/>
                                <a:ea typeface="+mn-ea"/>
                                <a:cs typeface="+mn-cs"/>
                              </a:rPr>
                            </m:ctrlPr>
                          </m:sSubPr>
                          <m:e>
                            <m:r>
                              <a:rPr lang="es-CL" sz="1400" b="0" i="1">
                                <a:solidFill>
                                  <a:schemeClr val="tx1"/>
                                </a:solidFill>
                                <a:effectLst/>
                                <a:latin typeface="Cambria Math" panose="02040503050406030204" pitchFamily="18" charset="0"/>
                                <a:ea typeface="+mn-ea"/>
                                <a:cs typeface="+mn-cs"/>
                              </a:rPr>
                              <m:t>𝑈</m:t>
                            </m:r>
                          </m:e>
                          <m:sub>
                            <m:r>
                              <a:rPr lang="es-CL" sz="1400" b="0" i="1">
                                <a:solidFill>
                                  <a:schemeClr val="tx1"/>
                                </a:solidFill>
                                <a:effectLst/>
                                <a:latin typeface="Cambria Math" panose="02040503050406030204" pitchFamily="18" charset="0"/>
                                <a:ea typeface="+mn-ea"/>
                                <a:cs typeface="+mn-cs"/>
                              </a:rPr>
                              <m:t>𝑔</m:t>
                            </m:r>
                          </m:sub>
                        </m:sSub>
                        <m:sSub>
                          <m:sSubPr>
                            <m:ctrlPr>
                              <a:rPr lang="es-CL" sz="1400" i="1">
                                <a:solidFill>
                                  <a:schemeClr val="tx1"/>
                                </a:solidFill>
                                <a:effectLst/>
                                <a:latin typeface="Cambria Math" panose="02040503050406030204" pitchFamily="18" charset="0"/>
                                <a:ea typeface="+mn-ea"/>
                                <a:cs typeface="+mn-cs"/>
                              </a:rPr>
                            </m:ctrlPr>
                          </m:sSubPr>
                          <m:e>
                            <m:r>
                              <a:rPr lang="es-CL" sz="1400" b="0" i="1">
                                <a:solidFill>
                                  <a:schemeClr val="tx1"/>
                                </a:solidFill>
                                <a:effectLst/>
                                <a:latin typeface="Cambria Math" panose="02040503050406030204" pitchFamily="18" charset="0"/>
                                <a:ea typeface="+mn-ea"/>
                                <a:cs typeface="+mn-cs"/>
                              </a:rPr>
                              <m:t>𝐴</m:t>
                            </m:r>
                          </m:e>
                          <m:sub>
                            <m:r>
                              <a:rPr lang="es-CL" sz="1400" b="0" i="1">
                                <a:solidFill>
                                  <a:schemeClr val="tx1"/>
                                </a:solidFill>
                                <a:effectLst/>
                                <a:latin typeface="Cambria Math" panose="02040503050406030204" pitchFamily="18" charset="0"/>
                                <a:ea typeface="+mn-ea"/>
                                <a:cs typeface="+mn-cs"/>
                              </a:rPr>
                              <m:t>𝑔</m:t>
                            </m:r>
                          </m:sub>
                        </m:sSub>
                        <m:r>
                          <a:rPr lang="es-CL" sz="1400" b="0" i="1">
                            <a:solidFill>
                              <a:schemeClr val="tx1"/>
                            </a:solidFill>
                            <a:effectLst/>
                            <a:latin typeface="Cambria Math" panose="02040503050406030204" pitchFamily="18" charset="0"/>
                            <a:ea typeface="+mn-ea"/>
                            <a:cs typeface="+mn-cs"/>
                          </a:rPr>
                          <m:t>+</m:t>
                        </m:r>
                        <m:sSub>
                          <m:sSubPr>
                            <m:ctrlPr>
                              <a:rPr lang="es-CL" sz="1400" i="1">
                                <a:solidFill>
                                  <a:schemeClr val="tx1"/>
                                </a:solidFill>
                                <a:effectLst/>
                                <a:latin typeface="Cambria Math" panose="02040503050406030204" pitchFamily="18" charset="0"/>
                                <a:ea typeface="+mn-ea"/>
                                <a:cs typeface="+mn-cs"/>
                              </a:rPr>
                            </m:ctrlPr>
                          </m:sSubPr>
                          <m:e>
                            <m:r>
                              <m:rPr>
                                <m:sty m:val="p"/>
                              </m:rPr>
                              <a:rPr lang="el-GR" sz="1400" i="1">
                                <a:solidFill>
                                  <a:schemeClr val="tx1"/>
                                </a:solidFill>
                                <a:effectLst/>
                                <a:latin typeface="Cambria Math" panose="02040503050406030204" pitchFamily="18" charset="0"/>
                                <a:ea typeface="Cambria Math" panose="02040503050406030204" pitchFamily="18" charset="0"/>
                                <a:cs typeface="+mn-cs"/>
                              </a:rPr>
                              <m:t>Ψ</m:t>
                            </m:r>
                          </m:e>
                          <m:sub>
                            <m:r>
                              <a:rPr lang="es-CL" sz="1400" b="0" i="1">
                                <a:solidFill>
                                  <a:schemeClr val="tx1"/>
                                </a:solidFill>
                                <a:effectLst/>
                                <a:latin typeface="Cambria Math" panose="02040503050406030204" pitchFamily="18" charset="0"/>
                                <a:ea typeface="+mn-ea"/>
                                <a:cs typeface="+mn-cs"/>
                              </a:rPr>
                              <m:t>𝑔</m:t>
                            </m:r>
                          </m:sub>
                        </m:sSub>
                        <m:sSub>
                          <m:sSubPr>
                            <m:ctrlPr>
                              <a:rPr lang="es-CL" sz="1400" i="1">
                                <a:solidFill>
                                  <a:schemeClr val="tx1"/>
                                </a:solidFill>
                                <a:effectLst/>
                                <a:latin typeface="Cambria Math" panose="02040503050406030204" pitchFamily="18" charset="0"/>
                                <a:ea typeface="+mn-ea"/>
                                <a:cs typeface="+mn-cs"/>
                              </a:rPr>
                            </m:ctrlPr>
                          </m:sSubPr>
                          <m:e>
                            <m:r>
                              <a:rPr lang="es-CL" sz="1400" b="0" i="1">
                                <a:solidFill>
                                  <a:schemeClr val="tx1"/>
                                </a:solidFill>
                                <a:effectLst/>
                                <a:latin typeface="Cambria Math" panose="02040503050406030204" pitchFamily="18" charset="0"/>
                                <a:ea typeface="+mn-ea"/>
                                <a:cs typeface="+mn-cs"/>
                              </a:rPr>
                              <m:t>𝑙</m:t>
                            </m:r>
                          </m:e>
                          <m:sub>
                            <m:r>
                              <a:rPr lang="es-CL" sz="1400" b="0" i="1">
                                <a:solidFill>
                                  <a:schemeClr val="tx1"/>
                                </a:solidFill>
                                <a:effectLst/>
                                <a:latin typeface="Cambria Math" panose="02040503050406030204" pitchFamily="18" charset="0"/>
                                <a:ea typeface="+mn-ea"/>
                                <a:cs typeface="+mn-cs"/>
                              </a:rPr>
                              <m:t>𝑔</m:t>
                            </m:r>
                          </m:sub>
                        </m:sSub>
                      </m:num>
                      <m:den>
                        <m:sSub>
                          <m:sSubPr>
                            <m:ctrlPr>
                              <a:rPr lang="es-CL" sz="1400" i="1">
                                <a:solidFill>
                                  <a:schemeClr val="tx1"/>
                                </a:solidFill>
                                <a:effectLst/>
                                <a:latin typeface="Cambria Math" panose="02040503050406030204" pitchFamily="18" charset="0"/>
                                <a:ea typeface="+mn-ea"/>
                                <a:cs typeface="+mn-cs"/>
                              </a:rPr>
                            </m:ctrlPr>
                          </m:sSubPr>
                          <m:e>
                            <m:r>
                              <a:rPr lang="es-CL" sz="1400" b="0" i="1">
                                <a:solidFill>
                                  <a:schemeClr val="tx1"/>
                                </a:solidFill>
                                <a:effectLst/>
                                <a:latin typeface="Cambria Math" panose="02040503050406030204" pitchFamily="18" charset="0"/>
                                <a:ea typeface="+mn-ea"/>
                                <a:cs typeface="+mn-cs"/>
                              </a:rPr>
                              <m:t>𝐴</m:t>
                            </m:r>
                          </m:e>
                          <m:sub>
                            <m:r>
                              <a:rPr lang="es-CL" sz="1400" b="0" i="1">
                                <a:solidFill>
                                  <a:schemeClr val="tx1"/>
                                </a:solidFill>
                                <a:effectLst/>
                                <a:latin typeface="Cambria Math" panose="02040503050406030204" pitchFamily="18" charset="0"/>
                                <a:ea typeface="+mn-ea"/>
                                <a:cs typeface="+mn-cs"/>
                              </a:rPr>
                              <m:t>𝑓</m:t>
                            </m:r>
                          </m:sub>
                        </m:sSub>
                        <m:r>
                          <a:rPr lang="es-CL" sz="1400" b="0" i="1">
                            <a:solidFill>
                              <a:schemeClr val="tx1"/>
                            </a:solidFill>
                            <a:effectLst/>
                            <a:latin typeface="Cambria Math" panose="02040503050406030204" pitchFamily="18" charset="0"/>
                            <a:ea typeface="+mn-ea"/>
                            <a:cs typeface="+mn-cs"/>
                          </a:rPr>
                          <m:t>+</m:t>
                        </m:r>
                        <m:sSub>
                          <m:sSubPr>
                            <m:ctrlPr>
                              <a:rPr lang="es-CL" sz="1400" i="1">
                                <a:solidFill>
                                  <a:schemeClr val="tx1"/>
                                </a:solidFill>
                                <a:effectLst/>
                                <a:latin typeface="Cambria Math" panose="02040503050406030204" pitchFamily="18" charset="0"/>
                                <a:ea typeface="+mn-ea"/>
                                <a:cs typeface="+mn-cs"/>
                              </a:rPr>
                            </m:ctrlPr>
                          </m:sSubPr>
                          <m:e>
                            <m:r>
                              <a:rPr lang="es-CL" sz="1400" b="0" i="1">
                                <a:solidFill>
                                  <a:schemeClr val="tx1"/>
                                </a:solidFill>
                                <a:effectLst/>
                                <a:latin typeface="Cambria Math" panose="02040503050406030204" pitchFamily="18" charset="0"/>
                                <a:ea typeface="+mn-ea"/>
                                <a:cs typeface="+mn-cs"/>
                              </a:rPr>
                              <m:t>𝐴</m:t>
                            </m:r>
                          </m:e>
                          <m:sub>
                            <m:r>
                              <a:rPr lang="es-CL" sz="1400" b="0" i="1">
                                <a:solidFill>
                                  <a:schemeClr val="tx1"/>
                                </a:solidFill>
                                <a:effectLst/>
                                <a:latin typeface="Cambria Math" panose="02040503050406030204" pitchFamily="18" charset="0"/>
                                <a:ea typeface="+mn-ea"/>
                                <a:cs typeface="+mn-cs"/>
                              </a:rPr>
                              <m:t>𝑔</m:t>
                            </m:r>
                          </m:sub>
                        </m:sSub>
                      </m:den>
                    </m:f>
                  </m:oMath>
                </m:oMathPara>
              </a14:m>
              <a:endParaRPr lang="es-CL" sz="1400"/>
            </a:p>
          </xdr:txBody>
        </xdr:sp>
      </mc:Choice>
      <mc:Fallback xmlns="">
        <xdr:sp macro="" textlink="">
          <xdr:nvSpPr>
            <xdr:cNvPr id="2" name="CuadroTexto 1"/>
            <xdr:cNvSpPr txBox="1"/>
          </xdr:nvSpPr>
          <xdr:spPr>
            <a:xfrm>
              <a:off x="1533525" y="9010650"/>
              <a:ext cx="2080378" cy="47628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CL" sz="1400" b="0" i="0">
                  <a:latin typeface="Cambria Math" panose="02040503050406030204" pitchFamily="18" charset="0"/>
                </a:rPr>
                <a:t>𝑈_𝑤=(</a:t>
              </a:r>
              <a:r>
                <a:rPr lang="es-CL" sz="1400" b="0" i="0">
                  <a:solidFill>
                    <a:schemeClr val="tx1"/>
                  </a:solidFill>
                  <a:effectLst/>
                  <a:latin typeface="Cambria Math" panose="02040503050406030204" pitchFamily="18" charset="0"/>
                  <a:ea typeface="+mn-ea"/>
                  <a:cs typeface="+mn-cs"/>
                </a:rPr>
                <a:t>𝑈</a:t>
              </a:r>
              <a:r>
                <a:rPr lang="es-CL" sz="1400" b="0" i="0">
                  <a:solidFill>
                    <a:schemeClr val="tx1"/>
                  </a:solidFill>
                  <a:effectLst/>
                  <a:latin typeface="+mn-lt"/>
                  <a:ea typeface="+mn-ea"/>
                  <a:cs typeface="+mn-cs"/>
                </a:rPr>
                <a:t>_</a:t>
              </a:r>
              <a:r>
                <a:rPr lang="es-CL" sz="1400" b="0" i="0">
                  <a:solidFill>
                    <a:schemeClr val="tx1"/>
                  </a:solidFill>
                  <a:effectLst/>
                  <a:latin typeface="Cambria Math" panose="02040503050406030204" pitchFamily="18" charset="0"/>
                  <a:ea typeface="+mn-ea"/>
                  <a:cs typeface="+mn-cs"/>
                </a:rPr>
                <a:t>𝑓</a:t>
              </a:r>
              <a:r>
                <a:rPr lang="es-CL" sz="1400" b="0" i="0">
                  <a:solidFill>
                    <a:schemeClr val="tx1"/>
                  </a:solidFill>
                  <a:effectLst/>
                  <a:latin typeface="+mn-lt"/>
                  <a:ea typeface="+mn-ea"/>
                  <a:cs typeface="+mn-cs"/>
                </a:rPr>
                <a:t> </a:t>
              </a:r>
              <a:r>
                <a:rPr lang="es-CL" sz="1400" b="0" i="0">
                  <a:solidFill>
                    <a:schemeClr val="tx1"/>
                  </a:solidFill>
                  <a:effectLst/>
                  <a:latin typeface="Cambria Math" panose="02040503050406030204" pitchFamily="18" charset="0"/>
                  <a:ea typeface="+mn-ea"/>
                  <a:cs typeface="+mn-cs"/>
                </a:rPr>
                <a:t>𝐴</a:t>
              </a:r>
              <a:r>
                <a:rPr lang="es-CL" sz="1400" b="0" i="0">
                  <a:solidFill>
                    <a:schemeClr val="tx1"/>
                  </a:solidFill>
                  <a:effectLst/>
                  <a:latin typeface="+mn-lt"/>
                  <a:ea typeface="+mn-ea"/>
                  <a:cs typeface="+mn-cs"/>
                </a:rPr>
                <a:t>_</a:t>
              </a:r>
              <a:r>
                <a:rPr lang="es-CL" sz="1400" b="0" i="0">
                  <a:solidFill>
                    <a:schemeClr val="tx1"/>
                  </a:solidFill>
                  <a:effectLst/>
                  <a:latin typeface="Cambria Math" panose="02040503050406030204" pitchFamily="18" charset="0"/>
                  <a:ea typeface="+mn-ea"/>
                  <a:cs typeface="+mn-cs"/>
                </a:rPr>
                <a:t>𝑓+𝑈</a:t>
              </a:r>
              <a:r>
                <a:rPr lang="es-CL" sz="1400" b="0" i="0">
                  <a:solidFill>
                    <a:schemeClr val="tx1"/>
                  </a:solidFill>
                  <a:effectLst/>
                  <a:latin typeface="+mn-lt"/>
                  <a:ea typeface="+mn-ea"/>
                  <a:cs typeface="+mn-cs"/>
                </a:rPr>
                <a:t>_</a:t>
              </a:r>
              <a:r>
                <a:rPr lang="es-CL" sz="1400" b="0" i="0">
                  <a:solidFill>
                    <a:schemeClr val="tx1"/>
                  </a:solidFill>
                  <a:effectLst/>
                  <a:latin typeface="Cambria Math" panose="02040503050406030204" pitchFamily="18" charset="0"/>
                  <a:ea typeface="+mn-ea"/>
                  <a:cs typeface="+mn-cs"/>
                </a:rPr>
                <a:t>𝑔</a:t>
              </a:r>
              <a:r>
                <a:rPr lang="es-CL" sz="1400" b="0" i="0">
                  <a:solidFill>
                    <a:schemeClr val="tx1"/>
                  </a:solidFill>
                  <a:effectLst/>
                  <a:latin typeface="+mn-lt"/>
                  <a:ea typeface="+mn-ea"/>
                  <a:cs typeface="+mn-cs"/>
                </a:rPr>
                <a:t> </a:t>
              </a:r>
              <a:r>
                <a:rPr lang="es-CL" sz="1400" b="0" i="0">
                  <a:solidFill>
                    <a:schemeClr val="tx1"/>
                  </a:solidFill>
                  <a:effectLst/>
                  <a:latin typeface="Cambria Math" panose="02040503050406030204" pitchFamily="18" charset="0"/>
                  <a:ea typeface="+mn-ea"/>
                  <a:cs typeface="+mn-cs"/>
                </a:rPr>
                <a:t>𝐴</a:t>
              </a:r>
              <a:r>
                <a:rPr lang="es-CL" sz="1400" b="0" i="0">
                  <a:solidFill>
                    <a:schemeClr val="tx1"/>
                  </a:solidFill>
                  <a:effectLst/>
                  <a:latin typeface="+mn-lt"/>
                  <a:ea typeface="+mn-ea"/>
                  <a:cs typeface="+mn-cs"/>
                </a:rPr>
                <a:t>_</a:t>
              </a:r>
              <a:r>
                <a:rPr lang="es-CL" sz="1400" b="0" i="0">
                  <a:solidFill>
                    <a:schemeClr val="tx1"/>
                  </a:solidFill>
                  <a:effectLst/>
                  <a:latin typeface="Cambria Math" panose="02040503050406030204" pitchFamily="18" charset="0"/>
                  <a:ea typeface="+mn-ea"/>
                  <a:cs typeface="+mn-cs"/>
                </a:rPr>
                <a:t>𝑔+</a:t>
              </a:r>
              <a:r>
                <a:rPr lang="el-GR" sz="1400" i="0">
                  <a:solidFill>
                    <a:schemeClr val="tx1"/>
                  </a:solidFill>
                  <a:effectLst/>
                  <a:latin typeface="Cambria Math" panose="02040503050406030204" pitchFamily="18" charset="0"/>
                  <a:ea typeface="Cambria Math" panose="02040503050406030204" pitchFamily="18" charset="0"/>
                  <a:cs typeface="+mn-cs"/>
                </a:rPr>
                <a:t>Ψ</a:t>
              </a:r>
              <a:r>
                <a:rPr lang="es-CL" sz="1400" i="0">
                  <a:solidFill>
                    <a:schemeClr val="tx1"/>
                  </a:solidFill>
                  <a:effectLst/>
                  <a:latin typeface="+mn-lt"/>
                  <a:ea typeface="+mn-ea"/>
                  <a:cs typeface="+mn-cs"/>
                </a:rPr>
                <a:t>_</a:t>
              </a:r>
              <a:r>
                <a:rPr lang="es-CL" sz="1400" b="0" i="0">
                  <a:solidFill>
                    <a:schemeClr val="tx1"/>
                  </a:solidFill>
                  <a:effectLst/>
                  <a:latin typeface="Cambria Math" panose="02040503050406030204" pitchFamily="18" charset="0"/>
                  <a:ea typeface="+mn-ea"/>
                  <a:cs typeface="+mn-cs"/>
                </a:rPr>
                <a:t>𝑔</a:t>
              </a:r>
              <a:r>
                <a:rPr lang="es-CL" sz="1400" b="0" i="0">
                  <a:solidFill>
                    <a:schemeClr val="tx1"/>
                  </a:solidFill>
                  <a:effectLst/>
                  <a:latin typeface="+mn-lt"/>
                  <a:ea typeface="+mn-ea"/>
                  <a:cs typeface="+mn-cs"/>
                </a:rPr>
                <a:t> </a:t>
              </a:r>
              <a:r>
                <a:rPr lang="es-CL" sz="1400" b="0" i="0">
                  <a:solidFill>
                    <a:schemeClr val="tx1"/>
                  </a:solidFill>
                  <a:effectLst/>
                  <a:latin typeface="Cambria Math" panose="02040503050406030204" pitchFamily="18" charset="0"/>
                  <a:ea typeface="+mn-ea"/>
                  <a:cs typeface="+mn-cs"/>
                </a:rPr>
                <a:t>𝑙</a:t>
              </a:r>
              <a:r>
                <a:rPr lang="es-CL" sz="1400" b="0" i="0">
                  <a:solidFill>
                    <a:schemeClr val="tx1"/>
                  </a:solidFill>
                  <a:effectLst/>
                  <a:latin typeface="+mn-lt"/>
                  <a:ea typeface="+mn-ea"/>
                  <a:cs typeface="+mn-cs"/>
                </a:rPr>
                <a:t>_</a:t>
              </a:r>
              <a:r>
                <a:rPr lang="es-CL" sz="1400" b="0" i="0">
                  <a:solidFill>
                    <a:schemeClr val="tx1"/>
                  </a:solidFill>
                  <a:effectLst/>
                  <a:latin typeface="Cambria Math" panose="02040503050406030204" pitchFamily="18" charset="0"/>
                  <a:ea typeface="+mn-ea"/>
                  <a:cs typeface="+mn-cs"/>
                </a:rPr>
                <a:t>𝑔)/(𝐴</a:t>
              </a:r>
              <a:r>
                <a:rPr lang="es-CL" sz="1400" b="0" i="0">
                  <a:solidFill>
                    <a:schemeClr val="tx1"/>
                  </a:solidFill>
                  <a:effectLst/>
                  <a:latin typeface="+mn-lt"/>
                  <a:ea typeface="+mn-ea"/>
                  <a:cs typeface="+mn-cs"/>
                </a:rPr>
                <a:t>_</a:t>
              </a:r>
              <a:r>
                <a:rPr lang="es-CL" sz="1400" b="0" i="0">
                  <a:solidFill>
                    <a:schemeClr val="tx1"/>
                  </a:solidFill>
                  <a:effectLst/>
                  <a:latin typeface="Cambria Math" panose="02040503050406030204" pitchFamily="18" charset="0"/>
                  <a:ea typeface="+mn-ea"/>
                  <a:cs typeface="+mn-cs"/>
                </a:rPr>
                <a:t>𝑓+𝐴</a:t>
              </a:r>
              <a:r>
                <a:rPr lang="es-CL" sz="1400" b="0" i="0">
                  <a:solidFill>
                    <a:schemeClr val="tx1"/>
                  </a:solidFill>
                  <a:effectLst/>
                  <a:latin typeface="+mn-lt"/>
                  <a:ea typeface="+mn-ea"/>
                  <a:cs typeface="+mn-cs"/>
                </a:rPr>
                <a:t>_</a:t>
              </a:r>
              <a:r>
                <a:rPr lang="es-CL" sz="1400" b="0" i="0">
                  <a:solidFill>
                    <a:schemeClr val="tx1"/>
                  </a:solidFill>
                  <a:effectLst/>
                  <a:latin typeface="Cambria Math" panose="02040503050406030204" pitchFamily="18" charset="0"/>
                  <a:ea typeface="+mn-ea"/>
                  <a:cs typeface="+mn-cs"/>
                </a:rPr>
                <a:t>𝑔 )</a:t>
              </a:r>
              <a:endParaRPr lang="es-CL" sz="1400"/>
            </a:p>
          </xdr:txBody>
        </xdr:sp>
      </mc:Fallback>
    </mc:AlternateContent>
    <xdr:clientData/>
  </xdr:oneCellAnchor>
  <xdr:oneCellAnchor>
    <xdr:from>
      <xdr:col>1</xdr:col>
      <xdr:colOff>0</xdr:colOff>
      <xdr:row>73</xdr:row>
      <xdr:rowOff>0</xdr:rowOff>
    </xdr:from>
    <xdr:ext cx="232691" cy="187872"/>
    <mc:AlternateContent xmlns:mc="http://schemas.openxmlformats.org/markup-compatibility/2006" xmlns:a14="http://schemas.microsoft.com/office/drawing/2010/main">
      <mc:Choice Requires="a14">
        <xdr:sp macro="" textlink="">
          <xdr:nvSpPr>
            <xdr:cNvPr id="4" name="CuadroTexto 3">
              <a:extLst>
                <a:ext uri="{FF2B5EF4-FFF2-40B4-BE49-F238E27FC236}">
                  <a16:creationId xmlns:a16="http://schemas.microsoft.com/office/drawing/2014/main" id="{00000000-0008-0000-0000-000004000000}"/>
                </a:ext>
              </a:extLst>
            </xdr:cNvPr>
            <xdr:cNvSpPr txBox="1"/>
          </xdr:nvSpPr>
          <xdr:spPr>
            <a:xfrm>
              <a:off x="95250" y="9629775"/>
              <a:ext cx="232691" cy="1878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s-CL" sz="1200" i="1">
                            <a:latin typeface="Cambria Math" panose="02040503050406030204" pitchFamily="18" charset="0"/>
                          </a:rPr>
                        </m:ctrlPr>
                      </m:sSubPr>
                      <m:e>
                        <m:r>
                          <a:rPr lang="es-CL" sz="1200" b="0" i="1">
                            <a:latin typeface="Cambria Math" panose="02040503050406030204" pitchFamily="18" charset="0"/>
                          </a:rPr>
                          <m:t>𝑈</m:t>
                        </m:r>
                      </m:e>
                      <m:sub>
                        <m:r>
                          <a:rPr lang="es-CL" sz="1200" b="0" i="1">
                            <a:latin typeface="Cambria Math" panose="02040503050406030204" pitchFamily="18" charset="0"/>
                          </a:rPr>
                          <m:t>𝑤</m:t>
                        </m:r>
                      </m:sub>
                    </m:sSub>
                  </m:oMath>
                </m:oMathPara>
              </a14:m>
              <a:endParaRPr lang="es-CL" sz="1200"/>
            </a:p>
          </xdr:txBody>
        </xdr:sp>
      </mc:Choice>
      <mc:Fallback xmlns="">
        <xdr:sp macro="" textlink="">
          <xdr:nvSpPr>
            <xdr:cNvPr id="4" name="CuadroTexto 3"/>
            <xdr:cNvSpPr txBox="1"/>
          </xdr:nvSpPr>
          <xdr:spPr>
            <a:xfrm>
              <a:off x="95250" y="9629775"/>
              <a:ext cx="232691" cy="1878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CL" sz="1200" b="0" i="0">
                  <a:latin typeface="Cambria Math" panose="02040503050406030204" pitchFamily="18" charset="0"/>
                </a:rPr>
                <a:t>𝑈_𝑤</a:t>
              </a:r>
              <a:endParaRPr lang="es-CL" sz="1200"/>
            </a:p>
          </xdr:txBody>
        </xdr:sp>
      </mc:Fallback>
    </mc:AlternateContent>
    <xdr:clientData/>
  </xdr:oneCellAnchor>
  <xdr:oneCellAnchor>
    <xdr:from>
      <xdr:col>1</xdr:col>
      <xdr:colOff>0</xdr:colOff>
      <xdr:row>74</xdr:row>
      <xdr:rowOff>0</xdr:rowOff>
    </xdr:from>
    <xdr:ext cx="199029" cy="199735"/>
    <mc:AlternateContent xmlns:mc="http://schemas.openxmlformats.org/markup-compatibility/2006" xmlns:a14="http://schemas.microsoft.com/office/drawing/2010/main">
      <mc:Choice Requires="a14">
        <xdr:sp macro="" textlink="">
          <xdr:nvSpPr>
            <xdr:cNvPr id="8" name="CuadroTexto 7">
              <a:extLst>
                <a:ext uri="{FF2B5EF4-FFF2-40B4-BE49-F238E27FC236}">
                  <a16:creationId xmlns:a16="http://schemas.microsoft.com/office/drawing/2014/main" id="{00000000-0008-0000-0000-000008000000}"/>
                </a:ext>
              </a:extLst>
            </xdr:cNvPr>
            <xdr:cNvSpPr txBox="1"/>
          </xdr:nvSpPr>
          <xdr:spPr>
            <a:xfrm>
              <a:off x="95250" y="9820275"/>
              <a:ext cx="199029" cy="1997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s-CL" sz="1200" i="1">
                            <a:latin typeface="Cambria Math" panose="02040503050406030204" pitchFamily="18" charset="0"/>
                          </a:rPr>
                        </m:ctrlPr>
                      </m:sSubPr>
                      <m:e>
                        <m:r>
                          <a:rPr lang="es-CL" sz="1200" b="0" i="1">
                            <a:latin typeface="Cambria Math" panose="02040503050406030204" pitchFamily="18" charset="0"/>
                          </a:rPr>
                          <m:t>𝑈</m:t>
                        </m:r>
                      </m:e>
                      <m:sub>
                        <m:r>
                          <a:rPr lang="es-CL" sz="1200" b="0" i="1">
                            <a:latin typeface="Cambria Math" panose="02040503050406030204" pitchFamily="18" charset="0"/>
                          </a:rPr>
                          <m:t>𝑓</m:t>
                        </m:r>
                      </m:sub>
                    </m:sSub>
                  </m:oMath>
                </m:oMathPara>
              </a14:m>
              <a:endParaRPr lang="es-CL" sz="1200"/>
            </a:p>
          </xdr:txBody>
        </xdr:sp>
      </mc:Choice>
      <mc:Fallback xmlns="">
        <xdr:sp macro="" textlink="">
          <xdr:nvSpPr>
            <xdr:cNvPr id="8" name="CuadroTexto 7"/>
            <xdr:cNvSpPr txBox="1"/>
          </xdr:nvSpPr>
          <xdr:spPr>
            <a:xfrm>
              <a:off x="95250" y="9820275"/>
              <a:ext cx="199029" cy="1997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CL" sz="1200" b="0" i="0">
                  <a:latin typeface="Cambria Math" panose="02040503050406030204" pitchFamily="18" charset="0"/>
                </a:rPr>
                <a:t>𝑈_𝑓</a:t>
              </a:r>
              <a:endParaRPr lang="es-CL" sz="1200"/>
            </a:p>
          </xdr:txBody>
        </xdr:sp>
      </mc:Fallback>
    </mc:AlternateContent>
    <xdr:clientData/>
  </xdr:oneCellAnchor>
  <xdr:oneCellAnchor>
    <xdr:from>
      <xdr:col>1</xdr:col>
      <xdr:colOff>0</xdr:colOff>
      <xdr:row>75</xdr:row>
      <xdr:rowOff>0</xdr:rowOff>
    </xdr:from>
    <xdr:ext cx="199798" cy="199735"/>
    <mc:AlternateContent xmlns:mc="http://schemas.openxmlformats.org/markup-compatibility/2006" xmlns:a14="http://schemas.microsoft.com/office/drawing/2010/main">
      <mc:Choice Requires="a14">
        <xdr:sp macro="" textlink="">
          <xdr:nvSpPr>
            <xdr:cNvPr id="9" name="CuadroTexto 8">
              <a:extLst>
                <a:ext uri="{FF2B5EF4-FFF2-40B4-BE49-F238E27FC236}">
                  <a16:creationId xmlns:a16="http://schemas.microsoft.com/office/drawing/2014/main" id="{00000000-0008-0000-0000-000009000000}"/>
                </a:ext>
              </a:extLst>
            </xdr:cNvPr>
            <xdr:cNvSpPr txBox="1"/>
          </xdr:nvSpPr>
          <xdr:spPr>
            <a:xfrm>
              <a:off x="95250" y="10010775"/>
              <a:ext cx="199798" cy="1997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s-CL" sz="1200" i="1">
                            <a:latin typeface="Cambria Math" panose="02040503050406030204" pitchFamily="18" charset="0"/>
                          </a:rPr>
                        </m:ctrlPr>
                      </m:sSubPr>
                      <m:e>
                        <m:r>
                          <a:rPr lang="es-CL" sz="1200" b="0" i="1">
                            <a:latin typeface="Cambria Math" panose="02040503050406030204" pitchFamily="18" charset="0"/>
                          </a:rPr>
                          <m:t>𝐴</m:t>
                        </m:r>
                      </m:e>
                      <m:sub>
                        <m:r>
                          <a:rPr lang="es-CL" sz="1200" b="0" i="1">
                            <a:latin typeface="Cambria Math" panose="02040503050406030204" pitchFamily="18" charset="0"/>
                          </a:rPr>
                          <m:t>𝑓</m:t>
                        </m:r>
                      </m:sub>
                    </m:sSub>
                  </m:oMath>
                </m:oMathPara>
              </a14:m>
              <a:endParaRPr lang="es-CL" sz="1200"/>
            </a:p>
          </xdr:txBody>
        </xdr:sp>
      </mc:Choice>
      <mc:Fallback xmlns="">
        <xdr:sp macro="" textlink="">
          <xdr:nvSpPr>
            <xdr:cNvPr id="9" name="CuadroTexto 8"/>
            <xdr:cNvSpPr txBox="1"/>
          </xdr:nvSpPr>
          <xdr:spPr>
            <a:xfrm>
              <a:off x="95250" y="10010775"/>
              <a:ext cx="199798" cy="1997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CL" sz="1200" b="0" i="0">
                  <a:latin typeface="Cambria Math" panose="02040503050406030204" pitchFamily="18" charset="0"/>
                </a:rPr>
                <a:t>𝐴_𝑓</a:t>
              </a:r>
              <a:endParaRPr lang="es-CL" sz="1200"/>
            </a:p>
          </xdr:txBody>
        </xdr:sp>
      </mc:Fallback>
    </mc:AlternateContent>
    <xdr:clientData/>
  </xdr:oneCellAnchor>
  <xdr:oneCellAnchor>
    <xdr:from>
      <xdr:col>1</xdr:col>
      <xdr:colOff>0</xdr:colOff>
      <xdr:row>76</xdr:row>
      <xdr:rowOff>0</xdr:rowOff>
    </xdr:from>
    <xdr:ext cx="207429" cy="199991"/>
    <mc:AlternateContent xmlns:mc="http://schemas.openxmlformats.org/markup-compatibility/2006" xmlns:a14="http://schemas.microsoft.com/office/drawing/2010/main">
      <mc:Choice Requires="a14">
        <xdr:sp macro="" textlink="">
          <xdr:nvSpPr>
            <xdr:cNvPr id="10" name="CuadroTexto 9">
              <a:extLst>
                <a:ext uri="{FF2B5EF4-FFF2-40B4-BE49-F238E27FC236}">
                  <a16:creationId xmlns:a16="http://schemas.microsoft.com/office/drawing/2014/main" id="{00000000-0008-0000-0000-00000A000000}"/>
                </a:ext>
              </a:extLst>
            </xdr:cNvPr>
            <xdr:cNvSpPr txBox="1"/>
          </xdr:nvSpPr>
          <xdr:spPr>
            <a:xfrm>
              <a:off x="95250" y="10201275"/>
              <a:ext cx="207429" cy="19999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s-CL" sz="1200" i="1">
                            <a:latin typeface="Cambria Math" panose="02040503050406030204" pitchFamily="18" charset="0"/>
                          </a:rPr>
                        </m:ctrlPr>
                      </m:sSubPr>
                      <m:e>
                        <m:r>
                          <a:rPr lang="es-CL" sz="1200" b="0" i="1">
                            <a:latin typeface="Cambria Math" panose="02040503050406030204" pitchFamily="18" charset="0"/>
                          </a:rPr>
                          <m:t>𝑈</m:t>
                        </m:r>
                      </m:e>
                      <m:sub>
                        <m:r>
                          <a:rPr lang="es-CL" sz="1200" b="0" i="1">
                            <a:latin typeface="Cambria Math" panose="02040503050406030204" pitchFamily="18" charset="0"/>
                          </a:rPr>
                          <m:t>𝑔</m:t>
                        </m:r>
                      </m:sub>
                    </m:sSub>
                  </m:oMath>
                </m:oMathPara>
              </a14:m>
              <a:endParaRPr lang="es-CL" sz="1200"/>
            </a:p>
          </xdr:txBody>
        </xdr:sp>
      </mc:Choice>
      <mc:Fallback xmlns="">
        <xdr:sp macro="" textlink="">
          <xdr:nvSpPr>
            <xdr:cNvPr id="10" name="CuadroTexto 9"/>
            <xdr:cNvSpPr txBox="1"/>
          </xdr:nvSpPr>
          <xdr:spPr>
            <a:xfrm>
              <a:off x="95250" y="10201275"/>
              <a:ext cx="207429" cy="19999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CL" sz="1200" b="0" i="0">
                  <a:latin typeface="Cambria Math" panose="02040503050406030204" pitchFamily="18" charset="0"/>
                </a:rPr>
                <a:t>𝑈_𝑔</a:t>
              </a:r>
              <a:endParaRPr lang="es-CL" sz="1200"/>
            </a:p>
          </xdr:txBody>
        </xdr:sp>
      </mc:Fallback>
    </mc:AlternateContent>
    <xdr:clientData/>
  </xdr:oneCellAnchor>
  <xdr:oneCellAnchor>
    <xdr:from>
      <xdr:col>1</xdr:col>
      <xdr:colOff>0</xdr:colOff>
      <xdr:row>77</xdr:row>
      <xdr:rowOff>0</xdr:rowOff>
    </xdr:from>
    <xdr:ext cx="208199" cy="199991"/>
    <mc:AlternateContent xmlns:mc="http://schemas.openxmlformats.org/markup-compatibility/2006" xmlns:a14="http://schemas.microsoft.com/office/drawing/2010/main">
      <mc:Choice Requires="a14">
        <xdr:sp macro="" textlink="">
          <xdr:nvSpPr>
            <xdr:cNvPr id="11" name="CuadroTexto 10">
              <a:extLst>
                <a:ext uri="{FF2B5EF4-FFF2-40B4-BE49-F238E27FC236}">
                  <a16:creationId xmlns:a16="http://schemas.microsoft.com/office/drawing/2014/main" id="{00000000-0008-0000-0000-00000B000000}"/>
                </a:ext>
              </a:extLst>
            </xdr:cNvPr>
            <xdr:cNvSpPr txBox="1"/>
          </xdr:nvSpPr>
          <xdr:spPr>
            <a:xfrm>
              <a:off x="95250" y="10391775"/>
              <a:ext cx="208199" cy="19999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s-CL" sz="1200" i="1">
                            <a:latin typeface="Cambria Math" panose="02040503050406030204" pitchFamily="18" charset="0"/>
                          </a:rPr>
                        </m:ctrlPr>
                      </m:sSubPr>
                      <m:e>
                        <m:r>
                          <a:rPr lang="es-CL" sz="1200" b="0" i="1">
                            <a:latin typeface="Cambria Math" panose="02040503050406030204" pitchFamily="18" charset="0"/>
                          </a:rPr>
                          <m:t>𝐴</m:t>
                        </m:r>
                      </m:e>
                      <m:sub>
                        <m:r>
                          <a:rPr lang="es-CL" sz="1200" b="0" i="1">
                            <a:latin typeface="Cambria Math" panose="02040503050406030204" pitchFamily="18" charset="0"/>
                          </a:rPr>
                          <m:t>𝑔</m:t>
                        </m:r>
                      </m:sub>
                    </m:sSub>
                  </m:oMath>
                </m:oMathPara>
              </a14:m>
              <a:endParaRPr lang="es-CL" sz="1200"/>
            </a:p>
          </xdr:txBody>
        </xdr:sp>
      </mc:Choice>
      <mc:Fallback xmlns="">
        <xdr:sp macro="" textlink="">
          <xdr:nvSpPr>
            <xdr:cNvPr id="11" name="CuadroTexto 10"/>
            <xdr:cNvSpPr txBox="1"/>
          </xdr:nvSpPr>
          <xdr:spPr>
            <a:xfrm>
              <a:off x="95250" y="10391775"/>
              <a:ext cx="208199" cy="19999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CL" sz="1200" b="0" i="0">
                  <a:latin typeface="Cambria Math" panose="02040503050406030204" pitchFamily="18" charset="0"/>
                </a:rPr>
                <a:t>𝐴_𝑔</a:t>
              </a:r>
              <a:endParaRPr lang="es-CL" sz="1200"/>
            </a:p>
          </xdr:txBody>
        </xdr:sp>
      </mc:Fallback>
    </mc:AlternateContent>
    <xdr:clientData/>
  </xdr:oneCellAnchor>
  <xdr:oneCellAnchor>
    <xdr:from>
      <xdr:col>1</xdr:col>
      <xdr:colOff>0</xdr:colOff>
      <xdr:row>78</xdr:row>
      <xdr:rowOff>0</xdr:rowOff>
    </xdr:from>
    <xdr:ext cx="218906" cy="199991"/>
    <mc:AlternateContent xmlns:mc="http://schemas.openxmlformats.org/markup-compatibility/2006" xmlns:a14="http://schemas.microsoft.com/office/drawing/2010/main">
      <mc:Choice Requires="a14">
        <xdr:sp macro="" textlink="">
          <xdr:nvSpPr>
            <xdr:cNvPr id="12" name="CuadroTexto 11">
              <a:extLst>
                <a:ext uri="{FF2B5EF4-FFF2-40B4-BE49-F238E27FC236}">
                  <a16:creationId xmlns:a16="http://schemas.microsoft.com/office/drawing/2014/main" id="{00000000-0008-0000-0000-00000C000000}"/>
                </a:ext>
              </a:extLst>
            </xdr:cNvPr>
            <xdr:cNvSpPr txBox="1"/>
          </xdr:nvSpPr>
          <xdr:spPr>
            <a:xfrm>
              <a:off x="95250" y="10582275"/>
              <a:ext cx="218906" cy="19999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s-CL" sz="1200" i="1">
                            <a:latin typeface="Cambria Math" panose="02040503050406030204" pitchFamily="18" charset="0"/>
                          </a:rPr>
                        </m:ctrlPr>
                      </m:sSubPr>
                      <m:e>
                        <m:r>
                          <m:rPr>
                            <m:sty m:val="p"/>
                          </m:rPr>
                          <a:rPr lang="el-GR" sz="1200" b="0" i="1">
                            <a:latin typeface="Cambria Math" panose="02040503050406030204" pitchFamily="18" charset="0"/>
                            <a:ea typeface="Cambria Math" panose="02040503050406030204" pitchFamily="18" charset="0"/>
                          </a:rPr>
                          <m:t>Ψ</m:t>
                        </m:r>
                      </m:e>
                      <m:sub>
                        <m:r>
                          <a:rPr lang="es-CL" sz="1200" b="0" i="1">
                            <a:latin typeface="Cambria Math" panose="02040503050406030204" pitchFamily="18" charset="0"/>
                          </a:rPr>
                          <m:t>𝑔</m:t>
                        </m:r>
                      </m:sub>
                    </m:sSub>
                  </m:oMath>
                </m:oMathPara>
              </a14:m>
              <a:endParaRPr lang="es-CL" sz="1200"/>
            </a:p>
          </xdr:txBody>
        </xdr:sp>
      </mc:Choice>
      <mc:Fallback xmlns="">
        <xdr:sp macro="" textlink="">
          <xdr:nvSpPr>
            <xdr:cNvPr id="12" name="CuadroTexto 11"/>
            <xdr:cNvSpPr txBox="1"/>
          </xdr:nvSpPr>
          <xdr:spPr>
            <a:xfrm>
              <a:off x="95250" y="10582275"/>
              <a:ext cx="218906" cy="19999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l-GR" sz="1200" b="0" i="0">
                  <a:latin typeface="Cambria Math" panose="02040503050406030204" pitchFamily="18" charset="0"/>
                  <a:ea typeface="Cambria Math" panose="02040503050406030204" pitchFamily="18" charset="0"/>
                </a:rPr>
                <a:t>Ψ</a:t>
              </a:r>
              <a:r>
                <a:rPr lang="es-CL" sz="1200" b="0" i="0">
                  <a:latin typeface="Cambria Math" panose="02040503050406030204" pitchFamily="18" charset="0"/>
                  <a:ea typeface="Cambria Math" panose="02040503050406030204" pitchFamily="18" charset="0"/>
                </a:rPr>
                <a:t>_</a:t>
              </a:r>
              <a:r>
                <a:rPr lang="es-CL" sz="1200" b="0" i="0">
                  <a:latin typeface="Cambria Math" panose="02040503050406030204" pitchFamily="18" charset="0"/>
                </a:rPr>
                <a:t>𝑔</a:t>
              </a:r>
              <a:endParaRPr lang="es-CL" sz="1200"/>
            </a:p>
          </xdr:txBody>
        </xdr:sp>
      </mc:Fallback>
    </mc:AlternateContent>
    <xdr:clientData/>
  </xdr:oneCellAnchor>
  <xdr:oneCellAnchor>
    <xdr:from>
      <xdr:col>1</xdr:col>
      <xdr:colOff>0</xdr:colOff>
      <xdr:row>79</xdr:row>
      <xdr:rowOff>0</xdr:rowOff>
    </xdr:from>
    <xdr:ext cx="159339" cy="199991"/>
    <mc:AlternateContent xmlns:mc="http://schemas.openxmlformats.org/markup-compatibility/2006" xmlns:a14="http://schemas.microsoft.com/office/drawing/2010/main">
      <mc:Choice Requires="a14">
        <xdr:sp macro="" textlink="">
          <xdr:nvSpPr>
            <xdr:cNvPr id="13" name="CuadroTexto 12">
              <a:extLst>
                <a:ext uri="{FF2B5EF4-FFF2-40B4-BE49-F238E27FC236}">
                  <a16:creationId xmlns:a16="http://schemas.microsoft.com/office/drawing/2014/main" id="{00000000-0008-0000-0000-00000D000000}"/>
                </a:ext>
              </a:extLst>
            </xdr:cNvPr>
            <xdr:cNvSpPr txBox="1"/>
          </xdr:nvSpPr>
          <xdr:spPr>
            <a:xfrm>
              <a:off x="95250" y="10772775"/>
              <a:ext cx="159339" cy="19999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s-CL" sz="1200" i="1">
                            <a:latin typeface="Cambria Math" panose="02040503050406030204" pitchFamily="18" charset="0"/>
                          </a:rPr>
                        </m:ctrlPr>
                      </m:sSubPr>
                      <m:e>
                        <m:r>
                          <a:rPr lang="es-CL" sz="1200" b="0" i="1">
                            <a:latin typeface="Cambria Math" panose="02040503050406030204" pitchFamily="18" charset="0"/>
                          </a:rPr>
                          <m:t>𝑙</m:t>
                        </m:r>
                      </m:e>
                      <m:sub>
                        <m:r>
                          <a:rPr lang="es-CL" sz="1200" b="0" i="1">
                            <a:latin typeface="Cambria Math" panose="02040503050406030204" pitchFamily="18" charset="0"/>
                          </a:rPr>
                          <m:t>𝑔</m:t>
                        </m:r>
                      </m:sub>
                    </m:sSub>
                  </m:oMath>
                </m:oMathPara>
              </a14:m>
              <a:endParaRPr lang="es-CL" sz="1200"/>
            </a:p>
          </xdr:txBody>
        </xdr:sp>
      </mc:Choice>
      <mc:Fallback xmlns="">
        <xdr:sp macro="" textlink="">
          <xdr:nvSpPr>
            <xdr:cNvPr id="13" name="CuadroTexto 12"/>
            <xdr:cNvSpPr txBox="1"/>
          </xdr:nvSpPr>
          <xdr:spPr>
            <a:xfrm>
              <a:off x="95250" y="10772775"/>
              <a:ext cx="159339" cy="19999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CL" sz="1200" b="0" i="0">
                  <a:latin typeface="Cambria Math" panose="02040503050406030204" pitchFamily="18" charset="0"/>
                </a:rPr>
                <a:t>𝑙_𝑔</a:t>
              </a:r>
              <a:endParaRPr lang="es-CL" sz="1200"/>
            </a:p>
          </xdr:txBody>
        </xdr:sp>
      </mc:Fallback>
    </mc:AlternateContent>
    <xdr:clientData/>
  </xdr:oneCellAnchor>
  <xdr:twoCellAnchor>
    <xdr:from>
      <xdr:col>18</xdr:col>
      <xdr:colOff>105277</xdr:colOff>
      <xdr:row>29</xdr:row>
      <xdr:rowOff>145382</xdr:rowOff>
    </xdr:from>
    <xdr:to>
      <xdr:col>24</xdr:col>
      <xdr:colOff>135357</xdr:colOff>
      <xdr:row>31</xdr:row>
      <xdr:rowOff>90237</xdr:rowOff>
    </xdr:to>
    <xdr:sp macro="" textlink="">
      <xdr:nvSpPr>
        <xdr:cNvPr id="19" name="CuadroTexto 18">
          <a:extLst>
            <a:ext uri="{FF2B5EF4-FFF2-40B4-BE49-F238E27FC236}">
              <a16:creationId xmlns:a16="http://schemas.microsoft.com/office/drawing/2014/main" id="{00000000-0008-0000-0000-000013000000}"/>
            </a:ext>
          </a:extLst>
        </xdr:cNvPr>
        <xdr:cNvSpPr txBox="1"/>
      </xdr:nvSpPr>
      <xdr:spPr>
        <a:xfrm>
          <a:off x="3439027" y="5584658"/>
          <a:ext cx="1173080" cy="3258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100"/>
            <a:t>proporción = a/b </a:t>
          </a:r>
        </a:p>
      </xdr:txBody>
    </xdr:sp>
    <xdr:clientData/>
  </xdr:twoCellAnchor>
  <xdr:twoCellAnchor>
    <xdr:from>
      <xdr:col>11</xdr:col>
      <xdr:colOff>80211</xdr:colOff>
      <xdr:row>28</xdr:row>
      <xdr:rowOff>135355</xdr:rowOff>
    </xdr:from>
    <xdr:to>
      <xdr:col>17</xdr:col>
      <xdr:colOff>136359</xdr:colOff>
      <xdr:row>33</xdr:row>
      <xdr:rowOff>135357</xdr:rowOff>
    </xdr:to>
    <xdr:grpSp>
      <xdr:nvGrpSpPr>
        <xdr:cNvPr id="28" name="Grupo 27">
          <a:extLst>
            <a:ext uri="{FF2B5EF4-FFF2-40B4-BE49-F238E27FC236}">
              <a16:creationId xmlns:a16="http://schemas.microsoft.com/office/drawing/2014/main" id="{00000000-0008-0000-0000-00001C000000}"/>
            </a:ext>
          </a:extLst>
        </xdr:cNvPr>
        <xdr:cNvGrpSpPr/>
      </xdr:nvGrpSpPr>
      <xdr:grpSpPr>
        <a:xfrm>
          <a:off x="2080461" y="5384131"/>
          <a:ext cx="1199148" cy="952502"/>
          <a:chOff x="2376237" y="4586537"/>
          <a:chExt cx="1199148" cy="953004"/>
        </a:xfrm>
      </xdr:grpSpPr>
      <xdr:cxnSp macro="">
        <xdr:nvCxnSpPr>
          <xdr:cNvPr id="16" name="Conector recto de flecha 15">
            <a:extLst>
              <a:ext uri="{FF2B5EF4-FFF2-40B4-BE49-F238E27FC236}">
                <a16:creationId xmlns:a16="http://schemas.microsoft.com/office/drawing/2014/main" id="{00000000-0008-0000-0000-000010000000}"/>
              </a:ext>
            </a:extLst>
          </xdr:cNvPr>
          <xdr:cNvCxnSpPr/>
        </xdr:nvCxnSpPr>
        <xdr:spPr>
          <a:xfrm>
            <a:off x="2381250" y="5429250"/>
            <a:ext cx="396039" cy="0"/>
          </a:xfrm>
          <a:prstGeom prst="straightConnector1">
            <a:avLst/>
          </a:prstGeom>
          <a:ln>
            <a:headEnd type="arrow" w="med" len="med"/>
            <a:tailEnd type="arrow" w="med" len="med"/>
          </a:ln>
        </xdr:spPr>
        <xdr:style>
          <a:lnRef idx="1">
            <a:schemeClr val="accent1"/>
          </a:lnRef>
          <a:fillRef idx="0">
            <a:schemeClr val="accent1"/>
          </a:fillRef>
          <a:effectRef idx="0">
            <a:schemeClr val="accent1"/>
          </a:effectRef>
          <a:fontRef idx="minor">
            <a:schemeClr val="tx1"/>
          </a:fontRef>
        </xdr:style>
      </xdr:cxnSp>
      <xdr:cxnSp macro="">
        <xdr:nvCxnSpPr>
          <xdr:cNvPr id="17" name="Conector recto de flecha 16">
            <a:extLst>
              <a:ext uri="{FF2B5EF4-FFF2-40B4-BE49-F238E27FC236}">
                <a16:creationId xmlns:a16="http://schemas.microsoft.com/office/drawing/2014/main" id="{00000000-0008-0000-0000-000011000000}"/>
              </a:ext>
            </a:extLst>
          </xdr:cNvPr>
          <xdr:cNvCxnSpPr/>
        </xdr:nvCxnSpPr>
        <xdr:spPr>
          <a:xfrm>
            <a:off x="2376237" y="5539540"/>
            <a:ext cx="1188118" cy="0"/>
          </a:xfrm>
          <a:prstGeom prst="straightConnector1">
            <a:avLst/>
          </a:prstGeom>
          <a:ln>
            <a:headEnd type="arrow" w="med" len="med"/>
            <a:tailEnd type="arrow" w="med" len="med"/>
          </a:ln>
        </xdr:spPr>
        <xdr:style>
          <a:lnRef idx="1">
            <a:schemeClr val="accent1"/>
          </a:lnRef>
          <a:fillRef idx="0">
            <a:schemeClr val="accent1"/>
          </a:fillRef>
          <a:effectRef idx="0">
            <a:schemeClr val="accent1"/>
          </a:effectRef>
          <a:fontRef idx="minor">
            <a:schemeClr val="tx1"/>
          </a:fontRef>
        </xdr:style>
      </xdr:cxnSp>
      <xdr:sp macro="" textlink="">
        <xdr:nvSpPr>
          <xdr:cNvPr id="20" name="CuadroTexto 19">
            <a:extLst>
              <a:ext uri="{FF2B5EF4-FFF2-40B4-BE49-F238E27FC236}">
                <a16:creationId xmlns:a16="http://schemas.microsoft.com/office/drawing/2014/main" id="{00000000-0008-0000-0000-000014000000}"/>
              </a:ext>
            </a:extLst>
          </xdr:cNvPr>
          <xdr:cNvSpPr txBox="1"/>
        </xdr:nvSpPr>
        <xdr:spPr>
          <a:xfrm>
            <a:off x="2516606" y="5273843"/>
            <a:ext cx="150395" cy="160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ctr"/>
            <a:r>
              <a:rPr lang="es-CL" sz="1100"/>
              <a:t>a</a:t>
            </a:r>
          </a:p>
        </xdr:txBody>
      </xdr:sp>
      <xdr:sp macro="" textlink="">
        <xdr:nvSpPr>
          <xdr:cNvPr id="21" name="CuadroTexto 20">
            <a:extLst>
              <a:ext uri="{FF2B5EF4-FFF2-40B4-BE49-F238E27FC236}">
                <a16:creationId xmlns:a16="http://schemas.microsoft.com/office/drawing/2014/main" id="{00000000-0008-0000-0000-000015000000}"/>
              </a:ext>
            </a:extLst>
          </xdr:cNvPr>
          <xdr:cNvSpPr txBox="1"/>
        </xdr:nvSpPr>
        <xdr:spPr>
          <a:xfrm>
            <a:off x="2892593" y="5379120"/>
            <a:ext cx="150395" cy="160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ctr"/>
            <a:r>
              <a:rPr lang="es-CL" sz="1100"/>
              <a:t>b</a:t>
            </a:r>
          </a:p>
        </xdr:txBody>
      </xdr:sp>
      <xdr:grpSp>
        <xdr:nvGrpSpPr>
          <xdr:cNvPr id="27" name="Grupo 26">
            <a:extLst>
              <a:ext uri="{FF2B5EF4-FFF2-40B4-BE49-F238E27FC236}">
                <a16:creationId xmlns:a16="http://schemas.microsoft.com/office/drawing/2014/main" id="{00000000-0008-0000-0000-00001B000000}"/>
              </a:ext>
            </a:extLst>
          </xdr:cNvPr>
          <xdr:cNvGrpSpPr/>
        </xdr:nvGrpSpPr>
        <xdr:grpSpPr>
          <a:xfrm>
            <a:off x="2398295" y="4586537"/>
            <a:ext cx="1177090" cy="684000"/>
            <a:chOff x="2400092" y="4589091"/>
            <a:chExt cx="1177090" cy="684000"/>
          </a:xfrm>
        </xdr:grpSpPr>
        <xdr:sp macro="" textlink="">
          <xdr:nvSpPr>
            <xdr:cNvPr id="5" name="Rectángulo 4">
              <a:extLst>
                <a:ext uri="{FF2B5EF4-FFF2-40B4-BE49-F238E27FC236}">
                  <a16:creationId xmlns:a16="http://schemas.microsoft.com/office/drawing/2014/main" id="{00000000-0008-0000-0000-000005000000}"/>
                </a:ext>
              </a:extLst>
            </xdr:cNvPr>
            <xdr:cNvSpPr/>
          </xdr:nvSpPr>
          <xdr:spPr>
            <a:xfrm>
              <a:off x="2796132" y="4589091"/>
              <a:ext cx="781050" cy="684000"/>
            </a:xfrm>
            <a:prstGeom prst="rect">
              <a:avLst/>
            </a:prstGeom>
            <a:noFill/>
            <a:ln w="2857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L" sz="1100"/>
            </a:p>
          </xdr:txBody>
        </xdr:sp>
        <xdr:sp macro="" textlink="">
          <xdr:nvSpPr>
            <xdr:cNvPr id="6" name="Rectángulo 5">
              <a:extLst>
                <a:ext uri="{FF2B5EF4-FFF2-40B4-BE49-F238E27FC236}">
                  <a16:creationId xmlns:a16="http://schemas.microsoft.com/office/drawing/2014/main" id="{00000000-0008-0000-0000-000006000000}"/>
                </a:ext>
              </a:extLst>
            </xdr:cNvPr>
            <xdr:cNvSpPr/>
          </xdr:nvSpPr>
          <xdr:spPr>
            <a:xfrm>
              <a:off x="2400092" y="4589091"/>
              <a:ext cx="378995" cy="684000"/>
            </a:xfrm>
            <a:prstGeom prst="rect">
              <a:avLst/>
            </a:prstGeom>
            <a:solidFill>
              <a:schemeClr val="tx2"/>
            </a:solidFill>
            <a:ln w="2857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L" sz="1100"/>
            </a:p>
          </xdr:txBody>
        </xdr:sp>
        <xdr:sp macro="" textlink="">
          <xdr:nvSpPr>
            <xdr:cNvPr id="7" name="Rectángulo 6">
              <a:extLst>
                <a:ext uri="{FF2B5EF4-FFF2-40B4-BE49-F238E27FC236}">
                  <a16:creationId xmlns:a16="http://schemas.microsoft.com/office/drawing/2014/main" id="{00000000-0008-0000-0000-000007000000}"/>
                </a:ext>
              </a:extLst>
            </xdr:cNvPr>
            <xdr:cNvSpPr/>
          </xdr:nvSpPr>
          <xdr:spPr>
            <a:xfrm>
              <a:off x="2448532" y="4644112"/>
              <a:ext cx="285750" cy="583406"/>
            </a:xfrm>
            <a:prstGeom prst="rect">
              <a:avLst/>
            </a:prstGeom>
            <a:solidFill>
              <a:schemeClr val="bg1"/>
            </a:solidFill>
            <a:ln w="2857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L" sz="1100"/>
            </a:p>
          </xdr:txBody>
        </xdr:sp>
        <xdr:cxnSp macro="">
          <xdr:nvCxnSpPr>
            <xdr:cNvPr id="23" name="Conector recto 22">
              <a:extLst>
                <a:ext uri="{FF2B5EF4-FFF2-40B4-BE49-F238E27FC236}">
                  <a16:creationId xmlns:a16="http://schemas.microsoft.com/office/drawing/2014/main" id="{00000000-0008-0000-0000-000017000000}"/>
                </a:ext>
              </a:extLst>
            </xdr:cNvPr>
            <xdr:cNvCxnSpPr>
              <a:endCxn id="7" idx="2"/>
            </xdr:cNvCxnSpPr>
          </xdr:nvCxnSpPr>
          <xdr:spPr>
            <a:xfrm>
              <a:off x="2465717" y="4658264"/>
              <a:ext cx="125690" cy="569254"/>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25" name="Conector recto 24">
              <a:extLst>
                <a:ext uri="{FF2B5EF4-FFF2-40B4-BE49-F238E27FC236}">
                  <a16:creationId xmlns:a16="http://schemas.microsoft.com/office/drawing/2014/main" id="{00000000-0008-0000-0000-000019000000}"/>
                </a:ext>
              </a:extLst>
            </xdr:cNvPr>
            <xdr:cNvCxnSpPr>
              <a:stCxn id="7" idx="2"/>
            </xdr:cNvCxnSpPr>
          </xdr:nvCxnSpPr>
          <xdr:spPr>
            <a:xfrm flipV="1">
              <a:off x="2591407" y="4651952"/>
              <a:ext cx="130823" cy="575566"/>
            </a:xfrm>
            <a:prstGeom prst="line">
              <a:avLst/>
            </a:prstGeom>
          </xdr:spPr>
          <xdr:style>
            <a:lnRef idx="1">
              <a:schemeClr val="accent1"/>
            </a:lnRef>
            <a:fillRef idx="0">
              <a:schemeClr val="accent1"/>
            </a:fillRef>
            <a:effectRef idx="0">
              <a:schemeClr val="accent1"/>
            </a:effectRef>
            <a:fontRef idx="minor">
              <a:schemeClr val="tx1"/>
            </a:fontRef>
          </xdr:style>
        </xdr:cxnSp>
      </xdr:grpSp>
    </xdr:grp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5</xdr:row>
          <xdr:rowOff>180975</xdr:rowOff>
        </xdr:from>
        <xdr:to>
          <xdr:col>4</xdr:col>
          <xdr:colOff>123825</xdr:colOff>
          <xdr:row>7</xdr:row>
          <xdr:rowOff>19050</xdr:rowOff>
        </xdr:to>
        <xdr:sp macro="" textlink="">
          <xdr:nvSpPr>
            <xdr:cNvPr id="2053" name="Option Button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xdr:row>
          <xdr:rowOff>0</xdr:rowOff>
        </xdr:from>
        <xdr:to>
          <xdr:col>14</xdr:col>
          <xdr:colOff>123825</xdr:colOff>
          <xdr:row>7</xdr:row>
          <xdr:rowOff>28575</xdr:rowOff>
        </xdr:to>
        <xdr:sp macro="" textlink="">
          <xdr:nvSpPr>
            <xdr:cNvPr id="2054" name="Option Button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7</xdr:col>
      <xdr:colOff>0</xdr:colOff>
      <xdr:row>32</xdr:row>
      <xdr:rowOff>70475</xdr:rowOff>
    </xdr:from>
    <xdr:ext cx="544315" cy="409086"/>
    <mc:AlternateContent xmlns:mc="http://schemas.openxmlformats.org/markup-compatibility/2006" xmlns:a14="http://schemas.microsoft.com/office/drawing/2010/main">
      <mc:Choice Requires="a14">
        <xdr:sp macro="" textlink="">
          <xdr:nvSpPr>
            <xdr:cNvPr id="18" name="CuadroTexto 17">
              <a:extLst>
                <a:ext uri="{FF2B5EF4-FFF2-40B4-BE49-F238E27FC236}">
                  <a16:creationId xmlns:a16="http://schemas.microsoft.com/office/drawing/2014/main" id="{00000000-0008-0000-0100-000012000000}"/>
                </a:ext>
              </a:extLst>
            </xdr:cNvPr>
            <xdr:cNvSpPr txBox="1"/>
          </xdr:nvSpPr>
          <xdr:spPr>
            <a:xfrm>
              <a:off x="1266825" y="3604250"/>
              <a:ext cx="544315" cy="4090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ctr">
              <a:spAutoFit/>
            </a:bodyPr>
            <a:lstStyle/>
            <a:p>
              <a:pPr/>
              <a14:m>
                <m:oMathPara xmlns:m="http://schemas.openxmlformats.org/officeDocument/2006/math">
                  <m:oMathParaPr>
                    <m:jc m:val="center"/>
                  </m:oMathParaPr>
                  <m:oMath xmlns:m="http://schemas.openxmlformats.org/officeDocument/2006/math">
                    <m:d>
                      <m:dPr>
                        <m:begChr m:val="["/>
                        <m:endChr m:val="]"/>
                        <m:ctrlPr>
                          <a:rPr lang="es-ES" sz="1400" i="1">
                            <a:latin typeface="Cambria Math" panose="02040503050406030204" pitchFamily="18" charset="0"/>
                          </a:rPr>
                        </m:ctrlPr>
                      </m:dPr>
                      <m:e>
                        <m:f>
                          <m:fPr>
                            <m:ctrlPr>
                              <a:rPr lang="es-ES" sz="1400" i="1">
                                <a:solidFill>
                                  <a:schemeClr val="tx1"/>
                                </a:solidFill>
                                <a:effectLst/>
                                <a:latin typeface="Cambria Math" panose="02040503050406030204" pitchFamily="18" charset="0"/>
                                <a:ea typeface="+mn-ea"/>
                                <a:cs typeface="+mn-cs"/>
                              </a:rPr>
                            </m:ctrlPr>
                          </m:fPr>
                          <m:num>
                            <m:r>
                              <a:rPr lang="es-ES" sz="1400" b="0" i="1">
                                <a:solidFill>
                                  <a:schemeClr val="tx1"/>
                                </a:solidFill>
                                <a:effectLst/>
                                <a:latin typeface="Cambria Math" panose="02040503050406030204" pitchFamily="18" charset="0"/>
                                <a:ea typeface="+mn-ea"/>
                                <a:cs typeface="+mn-cs"/>
                              </a:rPr>
                              <m:t>𝑊</m:t>
                            </m:r>
                          </m:num>
                          <m:den>
                            <m:sSup>
                              <m:sSupPr>
                                <m:ctrlPr>
                                  <a:rPr lang="es-ES" sz="1400" b="0" i="1">
                                    <a:solidFill>
                                      <a:schemeClr val="tx1"/>
                                    </a:solidFill>
                                    <a:effectLst/>
                                    <a:latin typeface="Cambria Math" panose="02040503050406030204" pitchFamily="18" charset="0"/>
                                    <a:ea typeface="+mn-ea"/>
                                    <a:cs typeface="+mn-cs"/>
                                  </a:rPr>
                                </m:ctrlPr>
                              </m:sSupPr>
                              <m:e>
                                <m:r>
                                  <a:rPr lang="es-ES" sz="1400" b="0" i="1">
                                    <a:solidFill>
                                      <a:schemeClr val="tx1"/>
                                    </a:solidFill>
                                    <a:effectLst/>
                                    <a:latin typeface="Cambria Math" panose="02040503050406030204" pitchFamily="18" charset="0"/>
                                    <a:ea typeface="+mn-ea"/>
                                    <a:cs typeface="+mn-cs"/>
                                  </a:rPr>
                                  <m:t>𝑚</m:t>
                                </m:r>
                              </m:e>
                              <m:sup>
                                <m:r>
                                  <a:rPr lang="es-ES" sz="1400" b="0" i="1">
                                    <a:solidFill>
                                      <a:schemeClr val="tx1"/>
                                    </a:solidFill>
                                    <a:effectLst/>
                                    <a:latin typeface="Cambria Math" panose="02040503050406030204" pitchFamily="18" charset="0"/>
                                    <a:ea typeface="+mn-ea"/>
                                    <a:cs typeface="+mn-cs"/>
                                  </a:rPr>
                                  <m:t>2</m:t>
                                </m:r>
                              </m:sup>
                            </m:sSup>
                            <m:r>
                              <a:rPr lang="es-ES" sz="1400" b="0" i="1">
                                <a:solidFill>
                                  <a:schemeClr val="tx1"/>
                                </a:solidFill>
                                <a:effectLst/>
                                <a:latin typeface="Cambria Math" panose="02040503050406030204" pitchFamily="18" charset="0"/>
                                <a:ea typeface="+mn-ea"/>
                                <a:cs typeface="+mn-cs"/>
                              </a:rPr>
                              <m:t>𝐾</m:t>
                            </m:r>
                          </m:den>
                        </m:f>
                      </m:e>
                    </m:d>
                  </m:oMath>
                </m:oMathPara>
              </a14:m>
              <a:endParaRPr lang="es-ES" sz="1400"/>
            </a:p>
          </xdr:txBody>
        </xdr:sp>
      </mc:Choice>
      <mc:Fallback xmlns="">
        <xdr:sp macro="" textlink="">
          <xdr:nvSpPr>
            <xdr:cNvPr id="18" name="CuadroTexto 17">
              <a:extLst>
                <a:ext uri="{FF2B5EF4-FFF2-40B4-BE49-F238E27FC236}">
                  <a16:creationId xmlns:a16="http://schemas.microsoft.com/office/drawing/2014/main" id="{164722F9-3683-4F98-A9DF-9A6069C69883}"/>
                </a:ext>
              </a:extLst>
            </xdr:cNvPr>
            <xdr:cNvSpPr txBox="1"/>
          </xdr:nvSpPr>
          <xdr:spPr>
            <a:xfrm>
              <a:off x="1266825" y="3604250"/>
              <a:ext cx="544315" cy="4090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ctr">
              <a:spAutoFit/>
            </a:bodyPr>
            <a:lstStyle/>
            <a:p>
              <a:pPr/>
              <a:r>
                <a:rPr lang="es-ES" sz="1400" i="0">
                  <a:latin typeface="Cambria Math" panose="02040503050406030204" pitchFamily="18" charset="0"/>
                </a:rPr>
                <a:t>[</a:t>
              </a:r>
              <a:r>
                <a:rPr lang="es-ES" sz="1400" b="0" i="0">
                  <a:solidFill>
                    <a:schemeClr val="tx1"/>
                  </a:solidFill>
                  <a:effectLst/>
                  <a:latin typeface="+mn-lt"/>
                  <a:ea typeface="+mn-ea"/>
                  <a:cs typeface="+mn-cs"/>
                </a:rPr>
                <a:t>𝑊/(</a:t>
              </a:r>
              <a:r>
                <a:rPr lang="es-ES" sz="1400" b="0" i="0">
                  <a:solidFill>
                    <a:schemeClr val="tx1"/>
                  </a:solidFill>
                  <a:effectLst/>
                  <a:latin typeface="Cambria Math" panose="02040503050406030204" pitchFamily="18" charset="0"/>
                  <a:ea typeface="+mn-ea"/>
                  <a:cs typeface="+mn-cs"/>
                </a:rPr>
                <a:t>𝑚^2</a:t>
              </a:r>
              <a:r>
                <a:rPr lang="es-ES" sz="1400" b="0" i="0">
                  <a:solidFill>
                    <a:schemeClr val="tx1"/>
                  </a:solidFill>
                  <a:effectLst/>
                  <a:latin typeface="+mn-lt"/>
                  <a:ea typeface="+mn-ea"/>
                  <a:cs typeface="+mn-cs"/>
                </a:rPr>
                <a:t> 𝐾)</a:t>
              </a:r>
              <a:r>
                <a:rPr lang="es-ES" sz="1400" b="0" i="0">
                  <a:solidFill>
                    <a:schemeClr val="tx1"/>
                  </a:solidFill>
                  <a:effectLst/>
                  <a:latin typeface="Cambria Math" panose="02040503050406030204" pitchFamily="18" charset="0"/>
                  <a:ea typeface="+mn-ea"/>
                  <a:cs typeface="+mn-cs"/>
                </a:rPr>
                <a:t>]</a:t>
              </a:r>
              <a:endParaRPr lang="es-ES" sz="1400"/>
            </a:p>
          </xdr:txBody>
        </xdr:sp>
      </mc:Fallback>
    </mc:AlternateContent>
    <xdr:clientData/>
  </xdr:oneCellAnchor>
  <xdr:oneCellAnchor>
    <xdr:from>
      <xdr:col>28</xdr:col>
      <xdr:colOff>0</xdr:colOff>
      <xdr:row>32</xdr:row>
      <xdr:rowOff>70475</xdr:rowOff>
    </xdr:from>
    <xdr:ext cx="457946" cy="409086"/>
    <mc:AlternateContent xmlns:mc="http://schemas.openxmlformats.org/markup-compatibility/2006" xmlns:a14="http://schemas.microsoft.com/office/drawing/2010/main">
      <mc:Choice Requires="a14">
        <xdr:sp macro="" textlink="">
          <xdr:nvSpPr>
            <xdr:cNvPr id="22" name="CuadroTexto 21">
              <a:extLst>
                <a:ext uri="{FF2B5EF4-FFF2-40B4-BE49-F238E27FC236}">
                  <a16:creationId xmlns:a16="http://schemas.microsoft.com/office/drawing/2014/main" id="{00000000-0008-0000-0100-000016000000}"/>
                </a:ext>
              </a:extLst>
            </xdr:cNvPr>
            <xdr:cNvSpPr txBox="1"/>
          </xdr:nvSpPr>
          <xdr:spPr>
            <a:xfrm>
              <a:off x="1266825" y="3604250"/>
              <a:ext cx="457946" cy="4090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ctr">
              <a:spAutoFit/>
            </a:bodyPr>
            <a:lstStyle/>
            <a:p>
              <a:pPr/>
              <a14:m>
                <m:oMathPara xmlns:m="http://schemas.openxmlformats.org/officeDocument/2006/math">
                  <m:oMathParaPr>
                    <m:jc m:val="center"/>
                  </m:oMathParaPr>
                  <m:oMath xmlns:m="http://schemas.openxmlformats.org/officeDocument/2006/math">
                    <m:d>
                      <m:dPr>
                        <m:begChr m:val="["/>
                        <m:endChr m:val="]"/>
                        <m:ctrlPr>
                          <a:rPr lang="es-ES" sz="1400" i="1">
                            <a:latin typeface="Cambria Math" panose="02040503050406030204" pitchFamily="18" charset="0"/>
                          </a:rPr>
                        </m:ctrlPr>
                      </m:dPr>
                      <m:e>
                        <m:f>
                          <m:fPr>
                            <m:ctrlPr>
                              <a:rPr lang="es-ES" sz="1400" i="1">
                                <a:solidFill>
                                  <a:schemeClr val="tx1"/>
                                </a:solidFill>
                                <a:effectLst/>
                                <a:latin typeface="Cambria Math" panose="02040503050406030204" pitchFamily="18" charset="0"/>
                                <a:ea typeface="+mn-ea"/>
                                <a:cs typeface="+mn-cs"/>
                              </a:rPr>
                            </m:ctrlPr>
                          </m:fPr>
                          <m:num>
                            <m:r>
                              <a:rPr lang="es-ES" sz="1400" b="0" i="1">
                                <a:solidFill>
                                  <a:schemeClr val="tx1"/>
                                </a:solidFill>
                                <a:effectLst/>
                                <a:latin typeface="Cambria Math" panose="02040503050406030204" pitchFamily="18" charset="0"/>
                                <a:ea typeface="+mn-ea"/>
                                <a:cs typeface="+mn-cs"/>
                              </a:rPr>
                              <m:t>𝑊</m:t>
                            </m:r>
                          </m:num>
                          <m:den>
                            <m:r>
                              <a:rPr lang="es-ES" sz="1400" i="1">
                                <a:solidFill>
                                  <a:schemeClr val="tx1"/>
                                </a:solidFill>
                                <a:effectLst/>
                                <a:latin typeface="Cambria Math" panose="02040503050406030204" pitchFamily="18" charset="0"/>
                                <a:ea typeface="+mn-ea"/>
                                <a:cs typeface="+mn-cs"/>
                              </a:rPr>
                              <m:t>𝑚</m:t>
                            </m:r>
                            <m:r>
                              <a:rPr lang="es-ES" sz="1400" b="0" i="1">
                                <a:solidFill>
                                  <a:schemeClr val="tx1"/>
                                </a:solidFill>
                                <a:effectLst/>
                                <a:latin typeface="Cambria Math" panose="02040503050406030204" pitchFamily="18" charset="0"/>
                                <a:ea typeface="+mn-ea"/>
                                <a:cs typeface="+mn-cs"/>
                              </a:rPr>
                              <m:t>𝐾</m:t>
                            </m:r>
                          </m:den>
                        </m:f>
                      </m:e>
                    </m:d>
                  </m:oMath>
                </m:oMathPara>
              </a14:m>
              <a:endParaRPr lang="es-ES" sz="1400"/>
            </a:p>
          </xdr:txBody>
        </xdr:sp>
      </mc:Choice>
      <mc:Fallback xmlns="">
        <xdr:sp macro="" textlink="">
          <xdr:nvSpPr>
            <xdr:cNvPr id="22" name="CuadroTexto 21">
              <a:extLst>
                <a:ext uri="{FF2B5EF4-FFF2-40B4-BE49-F238E27FC236}">
                  <a16:creationId xmlns:a16="http://schemas.microsoft.com/office/drawing/2014/main" id="{32953A25-C57D-4E67-B531-C269CFF9E34C}"/>
                </a:ext>
              </a:extLst>
            </xdr:cNvPr>
            <xdr:cNvSpPr txBox="1"/>
          </xdr:nvSpPr>
          <xdr:spPr>
            <a:xfrm>
              <a:off x="1266825" y="3604250"/>
              <a:ext cx="457946" cy="4090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ctr">
              <a:spAutoFit/>
            </a:bodyPr>
            <a:lstStyle/>
            <a:p>
              <a:pPr/>
              <a:r>
                <a:rPr lang="es-ES" sz="1400" i="0">
                  <a:latin typeface="Cambria Math" panose="02040503050406030204" pitchFamily="18" charset="0"/>
                </a:rPr>
                <a:t>[</a:t>
              </a:r>
              <a:r>
                <a:rPr lang="es-ES" sz="1400" b="0" i="0">
                  <a:solidFill>
                    <a:schemeClr val="tx1"/>
                  </a:solidFill>
                  <a:effectLst/>
                  <a:latin typeface="+mn-lt"/>
                  <a:ea typeface="+mn-ea"/>
                  <a:cs typeface="+mn-cs"/>
                </a:rPr>
                <a:t>𝑊/</a:t>
              </a:r>
              <a:r>
                <a:rPr lang="es-ES" sz="1400" i="0">
                  <a:solidFill>
                    <a:schemeClr val="tx1"/>
                  </a:solidFill>
                  <a:effectLst/>
                  <a:latin typeface="Cambria Math" panose="02040503050406030204" pitchFamily="18" charset="0"/>
                  <a:ea typeface="+mn-ea"/>
                  <a:cs typeface="+mn-cs"/>
                </a:rPr>
                <a:t>𝑚</a:t>
              </a:r>
              <a:r>
                <a:rPr lang="es-ES" sz="1400" b="0" i="0">
                  <a:solidFill>
                    <a:schemeClr val="tx1"/>
                  </a:solidFill>
                  <a:effectLst/>
                  <a:latin typeface="+mn-lt"/>
                  <a:ea typeface="+mn-ea"/>
                  <a:cs typeface="+mn-cs"/>
                </a:rPr>
                <a:t>𝐾</a:t>
              </a:r>
              <a:r>
                <a:rPr lang="es-ES" sz="1400" b="0" i="0">
                  <a:solidFill>
                    <a:schemeClr val="tx1"/>
                  </a:solidFill>
                  <a:effectLst/>
                  <a:latin typeface="Cambria Math" panose="02040503050406030204" pitchFamily="18" charset="0"/>
                  <a:ea typeface="+mn-ea"/>
                  <a:cs typeface="+mn-cs"/>
                </a:rPr>
                <a:t>]</a:t>
              </a:r>
              <a:endParaRPr lang="es-ES" sz="1400"/>
            </a:p>
          </xdr:txBody>
        </xdr:sp>
      </mc:Fallback>
    </mc:AlternateContent>
    <xdr:clientData/>
  </xdr:oneCellAnchor>
  <xdr:oneCellAnchor>
    <xdr:from>
      <xdr:col>17</xdr:col>
      <xdr:colOff>0</xdr:colOff>
      <xdr:row>32</xdr:row>
      <xdr:rowOff>70475</xdr:rowOff>
    </xdr:from>
    <xdr:ext cx="544315" cy="409086"/>
    <mc:AlternateContent xmlns:mc="http://schemas.openxmlformats.org/markup-compatibility/2006" xmlns:a14="http://schemas.microsoft.com/office/drawing/2010/main">
      <mc:Choice Requires="a14">
        <xdr:sp macro="" textlink="">
          <xdr:nvSpPr>
            <xdr:cNvPr id="23" name="CuadroTexto 22">
              <a:extLst>
                <a:ext uri="{FF2B5EF4-FFF2-40B4-BE49-F238E27FC236}">
                  <a16:creationId xmlns:a16="http://schemas.microsoft.com/office/drawing/2014/main" id="{00000000-0008-0000-0100-000017000000}"/>
                </a:ext>
              </a:extLst>
            </xdr:cNvPr>
            <xdr:cNvSpPr txBox="1"/>
          </xdr:nvSpPr>
          <xdr:spPr>
            <a:xfrm>
              <a:off x="1266825" y="3604250"/>
              <a:ext cx="544315" cy="4090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ctr">
              <a:spAutoFit/>
            </a:bodyPr>
            <a:lstStyle/>
            <a:p>
              <a:pPr/>
              <a14:m>
                <m:oMathPara xmlns:m="http://schemas.openxmlformats.org/officeDocument/2006/math">
                  <m:oMathParaPr>
                    <m:jc m:val="center"/>
                  </m:oMathParaPr>
                  <m:oMath xmlns:m="http://schemas.openxmlformats.org/officeDocument/2006/math">
                    <m:d>
                      <m:dPr>
                        <m:begChr m:val="["/>
                        <m:endChr m:val="]"/>
                        <m:ctrlPr>
                          <a:rPr lang="es-ES" sz="1400" i="1">
                            <a:latin typeface="Cambria Math" panose="02040503050406030204" pitchFamily="18" charset="0"/>
                          </a:rPr>
                        </m:ctrlPr>
                      </m:dPr>
                      <m:e>
                        <m:f>
                          <m:fPr>
                            <m:ctrlPr>
                              <a:rPr lang="es-ES" sz="1400" i="1">
                                <a:solidFill>
                                  <a:schemeClr val="tx1"/>
                                </a:solidFill>
                                <a:effectLst/>
                                <a:latin typeface="Cambria Math" panose="02040503050406030204" pitchFamily="18" charset="0"/>
                                <a:ea typeface="+mn-ea"/>
                                <a:cs typeface="+mn-cs"/>
                              </a:rPr>
                            </m:ctrlPr>
                          </m:fPr>
                          <m:num>
                            <m:r>
                              <a:rPr lang="es-ES" sz="1400" b="0" i="1">
                                <a:solidFill>
                                  <a:schemeClr val="tx1"/>
                                </a:solidFill>
                                <a:effectLst/>
                                <a:latin typeface="Cambria Math" panose="02040503050406030204" pitchFamily="18" charset="0"/>
                                <a:ea typeface="+mn-ea"/>
                                <a:cs typeface="+mn-cs"/>
                              </a:rPr>
                              <m:t>𝑊</m:t>
                            </m:r>
                          </m:num>
                          <m:den>
                            <m:sSup>
                              <m:sSupPr>
                                <m:ctrlPr>
                                  <a:rPr lang="es-ES" sz="1400" b="0" i="1">
                                    <a:solidFill>
                                      <a:schemeClr val="tx1"/>
                                    </a:solidFill>
                                    <a:effectLst/>
                                    <a:latin typeface="Cambria Math" panose="02040503050406030204" pitchFamily="18" charset="0"/>
                                    <a:ea typeface="+mn-ea"/>
                                    <a:cs typeface="+mn-cs"/>
                                  </a:rPr>
                                </m:ctrlPr>
                              </m:sSupPr>
                              <m:e>
                                <m:r>
                                  <a:rPr lang="es-ES" sz="1400" b="0" i="1">
                                    <a:solidFill>
                                      <a:schemeClr val="tx1"/>
                                    </a:solidFill>
                                    <a:effectLst/>
                                    <a:latin typeface="Cambria Math" panose="02040503050406030204" pitchFamily="18" charset="0"/>
                                    <a:ea typeface="+mn-ea"/>
                                    <a:cs typeface="+mn-cs"/>
                                  </a:rPr>
                                  <m:t>𝑚</m:t>
                                </m:r>
                              </m:e>
                              <m:sup>
                                <m:r>
                                  <a:rPr lang="es-ES" sz="1400" b="0" i="1">
                                    <a:solidFill>
                                      <a:schemeClr val="tx1"/>
                                    </a:solidFill>
                                    <a:effectLst/>
                                    <a:latin typeface="Cambria Math" panose="02040503050406030204" pitchFamily="18" charset="0"/>
                                    <a:ea typeface="+mn-ea"/>
                                    <a:cs typeface="+mn-cs"/>
                                  </a:rPr>
                                  <m:t>2</m:t>
                                </m:r>
                              </m:sup>
                            </m:sSup>
                            <m:r>
                              <a:rPr lang="es-ES" sz="1400" b="0" i="1">
                                <a:solidFill>
                                  <a:schemeClr val="tx1"/>
                                </a:solidFill>
                                <a:effectLst/>
                                <a:latin typeface="Cambria Math" panose="02040503050406030204" pitchFamily="18" charset="0"/>
                                <a:ea typeface="+mn-ea"/>
                                <a:cs typeface="+mn-cs"/>
                              </a:rPr>
                              <m:t>𝐾</m:t>
                            </m:r>
                          </m:den>
                        </m:f>
                      </m:e>
                    </m:d>
                  </m:oMath>
                </m:oMathPara>
              </a14:m>
              <a:endParaRPr lang="es-ES" sz="1400"/>
            </a:p>
          </xdr:txBody>
        </xdr:sp>
      </mc:Choice>
      <mc:Fallback xmlns="">
        <xdr:sp macro="" textlink="">
          <xdr:nvSpPr>
            <xdr:cNvPr id="23" name="CuadroTexto 22">
              <a:extLst>
                <a:ext uri="{FF2B5EF4-FFF2-40B4-BE49-F238E27FC236}">
                  <a16:creationId xmlns:a16="http://schemas.microsoft.com/office/drawing/2014/main" id="{D716E490-4B6B-4523-BE10-D6200FCFBD3A}"/>
                </a:ext>
              </a:extLst>
            </xdr:cNvPr>
            <xdr:cNvSpPr txBox="1"/>
          </xdr:nvSpPr>
          <xdr:spPr>
            <a:xfrm>
              <a:off x="1266825" y="3604250"/>
              <a:ext cx="544315" cy="4090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ctr">
              <a:spAutoFit/>
            </a:bodyPr>
            <a:lstStyle/>
            <a:p>
              <a:pPr/>
              <a:r>
                <a:rPr lang="es-ES" sz="1400" i="0">
                  <a:latin typeface="Cambria Math" panose="02040503050406030204" pitchFamily="18" charset="0"/>
                </a:rPr>
                <a:t>[</a:t>
              </a:r>
              <a:r>
                <a:rPr lang="es-ES" sz="1400" b="0" i="0">
                  <a:solidFill>
                    <a:schemeClr val="tx1"/>
                  </a:solidFill>
                  <a:effectLst/>
                  <a:latin typeface="+mn-lt"/>
                  <a:ea typeface="+mn-ea"/>
                  <a:cs typeface="+mn-cs"/>
                </a:rPr>
                <a:t>𝑊/(</a:t>
              </a:r>
              <a:r>
                <a:rPr lang="es-ES" sz="1400" b="0" i="0">
                  <a:solidFill>
                    <a:schemeClr val="tx1"/>
                  </a:solidFill>
                  <a:effectLst/>
                  <a:latin typeface="Cambria Math" panose="02040503050406030204" pitchFamily="18" charset="0"/>
                  <a:ea typeface="+mn-ea"/>
                  <a:cs typeface="+mn-cs"/>
                </a:rPr>
                <a:t>𝑚^2</a:t>
              </a:r>
              <a:r>
                <a:rPr lang="es-ES" sz="1400" b="0" i="0">
                  <a:solidFill>
                    <a:schemeClr val="tx1"/>
                  </a:solidFill>
                  <a:effectLst/>
                  <a:latin typeface="+mn-lt"/>
                  <a:ea typeface="+mn-ea"/>
                  <a:cs typeface="+mn-cs"/>
                </a:rPr>
                <a:t> 𝐾)</a:t>
              </a:r>
              <a:r>
                <a:rPr lang="es-ES" sz="1400" b="0" i="0">
                  <a:solidFill>
                    <a:schemeClr val="tx1"/>
                  </a:solidFill>
                  <a:effectLst/>
                  <a:latin typeface="Cambria Math" panose="02040503050406030204" pitchFamily="18" charset="0"/>
                  <a:ea typeface="+mn-ea"/>
                  <a:cs typeface="+mn-cs"/>
                </a:rPr>
                <a:t>]</a:t>
              </a:r>
              <a:endParaRPr lang="es-ES" sz="1400"/>
            </a:p>
          </xdr:txBody>
        </xdr:sp>
      </mc:Fallback>
    </mc:AlternateContent>
    <xdr:clientData/>
  </xdr:oneCellAnchor>
  <xdr:oneCellAnchor>
    <xdr:from>
      <xdr:col>18</xdr:col>
      <xdr:colOff>0</xdr:colOff>
      <xdr:row>38</xdr:row>
      <xdr:rowOff>122771</xdr:rowOff>
    </xdr:from>
    <xdr:ext cx="544315" cy="494995"/>
    <mc:AlternateContent xmlns:mc="http://schemas.openxmlformats.org/markup-compatibility/2006" xmlns:a14="http://schemas.microsoft.com/office/drawing/2010/main">
      <mc:Choice Requires="a14">
        <xdr:sp macro="" textlink="">
          <xdr:nvSpPr>
            <xdr:cNvPr id="24" name="CuadroTexto 23">
              <a:extLst>
                <a:ext uri="{FF2B5EF4-FFF2-40B4-BE49-F238E27FC236}">
                  <a16:creationId xmlns:a16="http://schemas.microsoft.com/office/drawing/2014/main" id="{00000000-0008-0000-0100-000018000000}"/>
                </a:ext>
              </a:extLst>
            </xdr:cNvPr>
            <xdr:cNvSpPr txBox="1"/>
          </xdr:nvSpPr>
          <xdr:spPr>
            <a:xfrm>
              <a:off x="3076575" y="5085296"/>
              <a:ext cx="544315" cy="4949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ctr">
              <a:spAutoFit/>
            </a:bodyPr>
            <a:lstStyle/>
            <a:p>
              <a:pPr/>
              <a14:m>
                <m:oMathPara xmlns:m="http://schemas.openxmlformats.org/officeDocument/2006/math">
                  <m:oMathParaPr>
                    <m:jc m:val="center"/>
                  </m:oMathParaPr>
                  <m:oMath xmlns:m="http://schemas.openxmlformats.org/officeDocument/2006/math">
                    <m:d>
                      <m:dPr>
                        <m:begChr m:val="["/>
                        <m:endChr m:val="]"/>
                        <m:ctrlPr>
                          <a:rPr lang="es-ES" sz="1400" i="1">
                            <a:latin typeface="Cambria Math" panose="02040503050406030204" pitchFamily="18" charset="0"/>
                          </a:rPr>
                        </m:ctrlPr>
                      </m:dPr>
                      <m:e>
                        <m:f>
                          <m:fPr>
                            <m:ctrlPr>
                              <a:rPr lang="es-ES" sz="1400" i="1">
                                <a:solidFill>
                                  <a:schemeClr val="tx1"/>
                                </a:solidFill>
                                <a:effectLst/>
                                <a:latin typeface="Cambria Math" panose="02040503050406030204" pitchFamily="18" charset="0"/>
                                <a:ea typeface="+mn-ea"/>
                                <a:cs typeface="+mn-cs"/>
                              </a:rPr>
                            </m:ctrlPr>
                          </m:fPr>
                          <m:num>
                            <m:r>
                              <a:rPr lang="es-ES" sz="1400" b="0" i="1">
                                <a:solidFill>
                                  <a:schemeClr val="tx1"/>
                                </a:solidFill>
                                <a:effectLst/>
                                <a:latin typeface="Cambria Math" panose="02040503050406030204" pitchFamily="18" charset="0"/>
                                <a:ea typeface="+mn-ea"/>
                                <a:cs typeface="+mn-cs"/>
                              </a:rPr>
                              <m:t>𝑊</m:t>
                            </m:r>
                          </m:num>
                          <m:den>
                            <m:sSup>
                              <m:sSupPr>
                                <m:ctrlPr>
                                  <a:rPr lang="es-ES" sz="1400" b="0" i="1">
                                    <a:solidFill>
                                      <a:schemeClr val="tx1"/>
                                    </a:solidFill>
                                    <a:effectLst/>
                                    <a:latin typeface="Cambria Math" panose="02040503050406030204" pitchFamily="18" charset="0"/>
                                    <a:ea typeface="+mn-ea"/>
                                    <a:cs typeface="+mn-cs"/>
                                  </a:rPr>
                                </m:ctrlPr>
                              </m:sSupPr>
                              <m:e>
                                <m:r>
                                  <a:rPr lang="es-ES" sz="1400" b="0" i="1">
                                    <a:solidFill>
                                      <a:schemeClr val="tx1"/>
                                    </a:solidFill>
                                    <a:effectLst/>
                                    <a:latin typeface="Cambria Math" panose="02040503050406030204" pitchFamily="18" charset="0"/>
                                    <a:ea typeface="+mn-ea"/>
                                    <a:cs typeface="+mn-cs"/>
                                  </a:rPr>
                                  <m:t>𝑚</m:t>
                                </m:r>
                              </m:e>
                              <m:sup>
                                <m:r>
                                  <a:rPr lang="es-ES" sz="1400" b="0" i="1">
                                    <a:solidFill>
                                      <a:schemeClr val="tx1"/>
                                    </a:solidFill>
                                    <a:effectLst/>
                                    <a:latin typeface="Cambria Math" panose="02040503050406030204" pitchFamily="18" charset="0"/>
                                    <a:ea typeface="+mn-ea"/>
                                    <a:cs typeface="+mn-cs"/>
                                  </a:rPr>
                                  <m:t>2</m:t>
                                </m:r>
                              </m:sup>
                            </m:sSup>
                            <m:r>
                              <a:rPr lang="es-ES" sz="1400" b="0" i="1">
                                <a:solidFill>
                                  <a:schemeClr val="tx1"/>
                                </a:solidFill>
                                <a:effectLst/>
                                <a:latin typeface="Cambria Math" panose="02040503050406030204" pitchFamily="18" charset="0"/>
                                <a:ea typeface="+mn-ea"/>
                                <a:cs typeface="+mn-cs"/>
                              </a:rPr>
                              <m:t>𝐾</m:t>
                            </m:r>
                          </m:den>
                        </m:f>
                      </m:e>
                    </m:d>
                  </m:oMath>
                </m:oMathPara>
              </a14:m>
              <a:endParaRPr lang="es-ES" sz="1400"/>
            </a:p>
          </xdr:txBody>
        </xdr:sp>
      </mc:Choice>
      <mc:Fallback xmlns="">
        <xdr:sp macro="" textlink="">
          <xdr:nvSpPr>
            <xdr:cNvPr id="24" name="CuadroTexto 23">
              <a:extLst>
                <a:ext uri="{FF2B5EF4-FFF2-40B4-BE49-F238E27FC236}">
                  <a16:creationId xmlns:a16="http://schemas.microsoft.com/office/drawing/2014/main" id="{00000000-0008-0000-0100-000018000000}"/>
                </a:ext>
              </a:extLst>
            </xdr:cNvPr>
            <xdr:cNvSpPr txBox="1"/>
          </xdr:nvSpPr>
          <xdr:spPr>
            <a:xfrm>
              <a:off x="3076575" y="5085296"/>
              <a:ext cx="544315" cy="4949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ctr">
              <a:spAutoFit/>
            </a:bodyPr>
            <a:lstStyle/>
            <a:p>
              <a:pPr/>
              <a:r>
                <a:rPr lang="es-ES" sz="1400" i="0">
                  <a:latin typeface="Cambria Math" panose="02040503050406030204" pitchFamily="18" charset="0"/>
                </a:rPr>
                <a:t>[</a:t>
              </a:r>
              <a:r>
                <a:rPr lang="es-ES" sz="1400" b="0" i="0">
                  <a:solidFill>
                    <a:schemeClr val="tx1"/>
                  </a:solidFill>
                  <a:effectLst/>
                  <a:latin typeface="Cambria Math" panose="02040503050406030204" pitchFamily="18" charset="0"/>
                  <a:ea typeface="+mn-ea"/>
                  <a:cs typeface="+mn-cs"/>
                </a:rPr>
                <a:t>𝑊/(𝑚^2 𝐾)]</a:t>
              </a:r>
              <a:endParaRPr lang="es-ES" sz="1400"/>
            </a:p>
          </xdr:txBody>
        </xdr:sp>
      </mc:Fallback>
    </mc:AlternateContent>
    <xdr:clientData/>
  </xdr:oneCellAnchor>
  <xdr:twoCellAnchor>
    <xdr:from>
      <xdr:col>10</xdr:col>
      <xdr:colOff>114300</xdr:colOff>
      <xdr:row>30</xdr:row>
      <xdr:rowOff>9525</xdr:rowOff>
    </xdr:from>
    <xdr:to>
      <xdr:col>10</xdr:col>
      <xdr:colOff>114300</xdr:colOff>
      <xdr:row>36</xdr:row>
      <xdr:rowOff>0</xdr:rowOff>
    </xdr:to>
    <xdr:cxnSp macro="">
      <xdr:nvCxnSpPr>
        <xdr:cNvPr id="5" name="Conector recto 4">
          <a:extLst>
            <a:ext uri="{FF2B5EF4-FFF2-40B4-BE49-F238E27FC236}">
              <a16:creationId xmlns:a16="http://schemas.microsoft.com/office/drawing/2014/main" id="{00000000-0008-0000-0100-000005000000}"/>
            </a:ext>
          </a:extLst>
        </xdr:cNvPr>
        <xdr:cNvCxnSpPr/>
      </xdr:nvCxnSpPr>
      <xdr:spPr>
        <a:xfrm>
          <a:off x="1743075" y="3924300"/>
          <a:ext cx="0" cy="94297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20</xdr:col>
      <xdr:colOff>123825</xdr:colOff>
      <xdr:row>30</xdr:row>
      <xdr:rowOff>9525</xdr:rowOff>
    </xdr:from>
    <xdr:to>
      <xdr:col>20</xdr:col>
      <xdr:colOff>123825</xdr:colOff>
      <xdr:row>36</xdr:row>
      <xdr:rowOff>0</xdr:rowOff>
    </xdr:to>
    <xdr:cxnSp macro="">
      <xdr:nvCxnSpPr>
        <xdr:cNvPr id="36" name="Conector recto 35">
          <a:extLst>
            <a:ext uri="{FF2B5EF4-FFF2-40B4-BE49-F238E27FC236}">
              <a16:creationId xmlns:a16="http://schemas.microsoft.com/office/drawing/2014/main" id="{00000000-0008-0000-0100-000024000000}"/>
            </a:ext>
          </a:extLst>
        </xdr:cNvPr>
        <xdr:cNvCxnSpPr/>
      </xdr:nvCxnSpPr>
      <xdr:spPr>
        <a:xfrm>
          <a:off x="3562350" y="3924300"/>
          <a:ext cx="0" cy="942975"/>
        </a:xfrm>
        <a:prstGeom prst="line">
          <a:avLst/>
        </a:prstGeom>
      </xdr:spPr>
      <xdr:style>
        <a:lnRef idx="1">
          <a:schemeClr val="dk1"/>
        </a:lnRef>
        <a:fillRef idx="0">
          <a:schemeClr val="dk1"/>
        </a:fillRef>
        <a:effectRef idx="0">
          <a:schemeClr val="dk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22</xdr:col>
          <xdr:colOff>0</xdr:colOff>
          <xdr:row>6</xdr:row>
          <xdr:rowOff>0</xdr:rowOff>
        </xdr:from>
        <xdr:to>
          <xdr:col>23</xdr:col>
          <xdr:colOff>123825</xdr:colOff>
          <xdr:row>7</xdr:row>
          <xdr:rowOff>28575</xdr:rowOff>
        </xdr:to>
        <xdr:sp macro="" textlink="">
          <xdr:nvSpPr>
            <xdr:cNvPr id="2063" name="Option Button 15" hidden="1">
              <a:extLst>
                <a:ext uri="{63B3BB69-23CF-44E3-9099-C40C66FF867C}">
                  <a14:compatExt spid="_x0000_s2063"/>
                </a:ext>
                <a:ext uri="{FF2B5EF4-FFF2-40B4-BE49-F238E27FC236}">
                  <a16:creationId xmlns:a16="http://schemas.microsoft.com/office/drawing/2014/main" id="{00000000-0008-0000-01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5</xdr:row>
          <xdr:rowOff>9525</xdr:rowOff>
        </xdr:from>
        <xdr:to>
          <xdr:col>32</xdr:col>
          <xdr:colOff>19050</xdr:colOff>
          <xdr:row>10</xdr:row>
          <xdr:rowOff>57150</xdr:rowOff>
        </xdr:to>
        <xdr:sp macro="" textlink="">
          <xdr:nvSpPr>
            <xdr:cNvPr id="2066" name="Group Box 18" hidden="1">
              <a:extLst>
                <a:ext uri="{63B3BB69-23CF-44E3-9099-C40C66FF867C}">
                  <a14:compatExt spid="_x0000_s2066"/>
                </a:ext>
                <a:ext uri="{FF2B5EF4-FFF2-40B4-BE49-F238E27FC236}">
                  <a16:creationId xmlns:a16="http://schemas.microsoft.com/office/drawing/2014/main" id="{00000000-0008-0000-0100-000012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8</xdr:col>
      <xdr:colOff>742950</xdr:colOff>
      <xdr:row>39</xdr:row>
      <xdr:rowOff>142874</xdr:rowOff>
    </xdr:from>
    <xdr:to>
      <xdr:col>14</xdr:col>
      <xdr:colOff>561975</xdr:colOff>
      <xdr:row>58</xdr:row>
      <xdr:rowOff>57149</xdr:rowOff>
    </xdr:to>
    <xdr:graphicFrame macro="">
      <xdr:nvGraphicFramePr>
        <xdr:cNvPr id="2" name="Gráfico 1">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76200</xdr:colOff>
      <xdr:row>55</xdr:row>
      <xdr:rowOff>71437</xdr:rowOff>
    </xdr:from>
    <xdr:to>
      <xdr:col>4</xdr:col>
      <xdr:colOff>1266825</xdr:colOff>
      <xdr:row>69</xdr:row>
      <xdr:rowOff>147637</xdr:rowOff>
    </xdr:to>
    <xdr:graphicFrame macro="">
      <xdr:nvGraphicFramePr>
        <xdr:cNvPr id="3" name="Gráfico 2">
          <a:extLst>
            <a:ext uri="{FF2B5EF4-FFF2-40B4-BE49-F238E27FC236}">
              <a16:creationId xmlns:a16="http://schemas.microsoft.com/office/drawing/2014/main" id="{00000000-0008-0000-04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casos_ventana" displayName="casos_ventana" ref="I25:O32" totalsRowShown="0" headerRowDxfId="26" dataDxfId="25" tableBorderDxfId="24">
  <autoFilter ref="I25:O32" xr:uid="{00000000-0009-0000-0100-000006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0000-000001000000}" name="caso" dataDxfId="23"/>
    <tableColumn id="2" xr3:uid="{00000000-0010-0000-0000-000002000000}" name="e" dataDxfId="22"/>
    <tableColumn id="3" xr3:uid="{00000000-0010-0000-0000-000003000000}" name="w" dataDxfId="21"/>
    <tableColumn id="4" xr3:uid="{00000000-0010-0000-0000-000004000000}" name="h" dataDxfId="20"/>
    <tableColumn id="5" xr3:uid="{00000000-0010-0000-0000-000005000000}" name="lg calc" dataDxfId="19"/>
    <tableColumn id="6" xr3:uid="{00000000-0010-0000-0000-000006000000}" name="junta apertura" dataDxfId="18"/>
    <tableColumn id="7" xr3:uid="{00000000-0010-0000-0000-000007000000}" name="descripción" dataDxfId="17"/>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E7DE9BF3-9B21-4E04-B2D8-A516EDFBA488}" name="Ag_alto_marco_usuario" displayName="Ag_alto_marco_usuario" ref="F4:G11" totalsRowShown="0" tableBorderDxfId="16">
  <autoFilter ref="F4:G11" xr:uid="{E7DE9BF3-9B21-4E04-B2D8-A516EDFBA488}">
    <filterColumn colId="0" hiddenButton="1"/>
    <filterColumn colId="1" hiddenButton="1"/>
  </autoFilter>
  <tableColumns count="2">
    <tableColumn id="1" xr3:uid="{AA6BC282-DC8F-405B-9226-0AE1F3590207}" name="caso" dataDxfId="15"/>
    <tableColumn id="2" xr3:uid="{6879929C-37D9-4D18-B749-034CF66B1FE6}" name="Ag"/>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propiedades_gases_EN673" displayName="propiedades_gases_EN673" ref="B2:H22" totalsRowShown="0">
  <autoFilter ref="B2:H22" xr:uid="{00000000-0009-0000-0100-000001000000}"/>
  <tableColumns count="7">
    <tableColumn id="7" xr3:uid="{00000000-0010-0000-0100-000007000000}" name="llave" dataDxfId="14">
      <calculatedColumnFormula>propiedades_gases_EN673[[#This Row],[gas]]&amp;" "&amp;propiedades_gases_EN673[[#This Row],[temperatura]]</calculatedColumnFormula>
    </tableColumn>
    <tableColumn id="1" xr3:uid="{00000000-0010-0000-0100-000001000000}" name="gas"/>
    <tableColumn id="2" xr3:uid="{00000000-0010-0000-0100-000002000000}" name="temperatura"/>
    <tableColumn id="3" xr3:uid="{00000000-0010-0000-0100-000003000000}" name="densidad" dataDxfId="13"/>
    <tableColumn id="4" xr3:uid="{00000000-0010-0000-0100-000004000000}" name="viscosidad dinámica" dataDxfId="12"/>
    <tableColumn id="5" xr3:uid="{00000000-0010-0000-0100-000005000000}" name="conductividad" dataDxfId="11"/>
    <tableColumn id="6" xr3:uid="{00000000-0010-0000-0100-000006000000}" name="calor específico" dataDxfId="10"/>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Resistencia_aire_no_ventilado" displayName="Resistencia_aire_no_ventilado" ref="J18:O23" totalsRowShown="0">
  <autoFilter ref="J18:O23" xr:uid="{00000000-0009-0000-0100-000002000000}"/>
  <tableColumns count="6">
    <tableColumn id="1" xr3:uid="{00000000-0010-0000-0200-000001000000}" name="espesor"/>
    <tableColumn id="2" xr3:uid="{00000000-0010-0000-0200-000002000000}" name="0,1"/>
    <tableColumn id="3" xr3:uid="{00000000-0010-0000-0200-000003000000}" name="0,2"/>
    <tableColumn id="4" xr3:uid="{00000000-0010-0000-0200-000004000000}" name="0,4"/>
    <tableColumn id="5" xr3:uid="{00000000-0010-0000-0200-000005000000}" name="0,8"/>
    <tableColumn id="6" xr3:uid="{00000000-0010-0000-0200-000006000000}" name="sin lámina"/>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3000000}" name="PSIg_por_defecto" displayName="PSIg_por_defecto" ref="B36:D40" totalsRowShown="0">
  <autoFilter ref="B36:D40" xr:uid="{00000000-0009-0000-0100-000003000000}"/>
  <sortState xmlns:xlrd2="http://schemas.microsoft.com/office/spreadsheetml/2017/richdata2" ref="B37:D40">
    <sortCondition ref="B36:B40"/>
  </sortState>
  <tableColumns count="3">
    <tableColumn id="1" xr3:uid="{00000000-0010-0000-0300-000001000000}" name="tipo marco"/>
    <tableColumn id="2" xr3:uid="{00000000-0010-0000-0300-000002000000}" name="vidrio sin cubierta"/>
    <tableColumn id="3" xr3:uid="{00000000-0010-0000-0300-000003000000}" name="vidrio baja emisividad"/>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4000000}" name="PSIg_mejorado" displayName="PSIg_mejorado" ref="B42:D46" totalsRowShown="0">
  <autoFilter ref="B42:D46" xr:uid="{00000000-0009-0000-0100-000004000000}"/>
  <sortState xmlns:xlrd2="http://schemas.microsoft.com/office/spreadsheetml/2017/richdata2" ref="B43:D46">
    <sortCondition ref="B42:B46"/>
  </sortState>
  <tableColumns count="3">
    <tableColumn id="1" xr3:uid="{00000000-0010-0000-0400-000001000000}" name="tipo marco"/>
    <tableColumn id="2" xr3:uid="{00000000-0010-0000-0400-000002000000}" name="vidrio sin cubierta"/>
    <tableColumn id="3" xr3:uid="{00000000-0010-0000-0400-000003000000}" name="vidrio baja emisividad"/>
  </tableColumns>
  <tableStyleInfo name="TableStyleLight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5000000}" name="Uf_plástico" displayName="Uf_plástico" ref="J25:K28" totalsRowShown="0">
  <autoFilter ref="J25:K28" xr:uid="{00000000-0009-0000-0100-000005000000}"/>
  <tableColumns count="2">
    <tableColumn id="1" xr3:uid="{00000000-0010-0000-0500-000001000000}" name="material"/>
    <tableColumn id="2" xr3:uid="{00000000-0010-0000-0500-000002000000}" name="Uf"/>
  </tableColumns>
  <tableStyleInfo name="TableStyleLight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7" Type="http://schemas.openxmlformats.org/officeDocument/2006/relationships/table" Target="../tables/table7.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88"/>
  <sheetViews>
    <sheetView topLeftCell="A25" zoomScale="190" zoomScaleNormal="190" workbookViewId="0">
      <selection activeCell="H36" sqref="H36"/>
    </sheetView>
  </sheetViews>
  <sheetFormatPr baseColWidth="10" defaultColWidth="0" defaultRowHeight="15" zeroHeight="1" x14ac:dyDescent="0.25"/>
  <cols>
    <col min="1" max="1" width="1.42578125" style="16" customWidth="1"/>
    <col min="2" max="33" width="2.85546875" style="16" customWidth="1"/>
    <col min="34" max="34" width="1.42578125" style="16" customWidth="1"/>
    <col min="35" max="16384" width="11.42578125" style="16" hidden="1"/>
  </cols>
  <sheetData>
    <row r="1" spans="2:33" ht="23.25" x14ac:dyDescent="0.35">
      <c r="B1" s="79" t="s">
        <v>173</v>
      </c>
      <c r="C1" s="79"/>
      <c r="D1" s="79"/>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row>
    <row r="2" spans="2:33" ht="7.5" customHeight="1" x14ac:dyDescent="0.35">
      <c r="B2" s="37"/>
      <c r="C2" s="37"/>
      <c r="D2" s="37"/>
      <c r="E2" s="37"/>
      <c r="F2" s="37"/>
      <c r="G2" s="37"/>
      <c r="H2" s="37"/>
      <c r="I2" s="37"/>
      <c r="J2" s="37"/>
      <c r="K2" s="37"/>
      <c r="L2" s="37"/>
      <c r="M2" s="37"/>
      <c r="N2" s="37"/>
      <c r="O2" s="37"/>
      <c r="P2" s="37"/>
      <c r="Q2" s="37"/>
      <c r="R2" s="37"/>
      <c r="S2" s="37"/>
      <c r="T2" s="37"/>
      <c r="U2" s="37"/>
      <c r="V2" s="37"/>
      <c r="W2" s="37"/>
      <c r="X2" s="37"/>
      <c r="Y2" s="37"/>
      <c r="Z2" s="37"/>
      <c r="AA2" s="37"/>
      <c r="AB2" s="37"/>
      <c r="AC2" s="37"/>
      <c r="AD2" s="37"/>
      <c r="AE2" s="37"/>
      <c r="AF2" s="37"/>
      <c r="AG2" s="37"/>
    </row>
    <row r="3" spans="2:33" ht="15" customHeight="1" x14ac:dyDescent="0.35">
      <c r="B3" s="29" t="s">
        <v>186</v>
      </c>
      <c r="C3" s="37"/>
      <c r="D3" s="37"/>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row>
    <row r="4" spans="2:33" x14ac:dyDescent="0.25">
      <c r="B4" s="78" t="s">
        <v>240</v>
      </c>
      <c r="C4" s="78"/>
      <c r="D4" s="78"/>
      <c r="E4" s="78"/>
      <c r="F4" s="78"/>
      <c r="G4" s="78"/>
      <c r="H4" s="78"/>
      <c r="I4" s="78"/>
      <c r="J4" s="78"/>
      <c r="K4" s="78"/>
      <c r="L4" s="78"/>
      <c r="M4" s="78"/>
      <c r="N4" s="78"/>
      <c r="O4" s="78"/>
      <c r="P4" s="78"/>
      <c r="Q4" s="78"/>
      <c r="R4" s="78"/>
      <c r="S4" s="78"/>
      <c r="T4" s="78"/>
      <c r="U4" s="78"/>
      <c r="V4" s="78"/>
      <c r="W4" s="78"/>
      <c r="X4" s="78"/>
      <c r="Y4" s="78"/>
      <c r="Z4" s="78"/>
      <c r="AA4" s="78"/>
      <c r="AB4" s="78"/>
      <c r="AC4" s="78"/>
      <c r="AD4" s="78"/>
      <c r="AE4" s="78"/>
      <c r="AF4" s="78"/>
      <c r="AG4" s="78"/>
    </row>
    <row r="5" spans="2:33" x14ac:dyDescent="0.25">
      <c r="B5" s="78"/>
      <c r="C5" s="78"/>
      <c r="D5" s="78"/>
      <c r="E5" s="78"/>
      <c r="F5" s="78"/>
      <c r="G5" s="78"/>
      <c r="H5" s="78"/>
      <c r="I5" s="78"/>
      <c r="J5" s="78"/>
      <c r="K5" s="78"/>
      <c r="L5" s="78"/>
      <c r="M5" s="78"/>
      <c r="N5" s="78"/>
      <c r="O5" s="78"/>
      <c r="P5" s="78"/>
      <c r="Q5" s="78"/>
      <c r="R5" s="78"/>
      <c r="S5" s="78"/>
      <c r="T5" s="78"/>
      <c r="U5" s="78"/>
      <c r="V5" s="78"/>
      <c r="W5" s="78"/>
      <c r="X5" s="78"/>
      <c r="Y5" s="78"/>
      <c r="Z5" s="78"/>
      <c r="AA5" s="78"/>
      <c r="AB5" s="78"/>
      <c r="AC5" s="78"/>
      <c r="AD5" s="78"/>
      <c r="AE5" s="78"/>
      <c r="AF5" s="78"/>
      <c r="AG5" s="78"/>
    </row>
    <row r="6" spans="2:33" x14ac:dyDescent="0.25">
      <c r="B6" s="78"/>
      <c r="C6" s="78"/>
      <c r="D6" s="78"/>
      <c r="E6" s="78"/>
      <c r="F6" s="78"/>
      <c r="G6" s="78"/>
      <c r="H6" s="78"/>
      <c r="I6" s="78"/>
      <c r="J6" s="78"/>
      <c r="K6" s="78"/>
      <c r="L6" s="78"/>
      <c r="M6" s="78"/>
      <c r="N6" s="78"/>
      <c r="O6" s="78"/>
      <c r="P6" s="78"/>
      <c r="Q6" s="78"/>
      <c r="R6" s="78"/>
      <c r="S6" s="78"/>
      <c r="T6" s="78"/>
      <c r="U6" s="78"/>
      <c r="V6" s="78"/>
      <c r="W6" s="78"/>
      <c r="X6" s="78"/>
      <c r="Y6" s="78"/>
      <c r="Z6" s="78"/>
      <c r="AA6" s="78"/>
      <c r="AB6" s="78"/>
      <c r="AC6" s="78"/>
      <c r="AD6" s="78"/>
      <c r="AE6" s="78"/>
      <c r="AF6" s="78"/>
      <c r="AG6" s="78"/>
    </row>
    <row r="7" spans="2:33" x14ac:dyDescent="0.25">
      <c r="B7" s="78"/>
      <c r="C7" s="78"/>
      <c r="D7" s="78"/>
      <c r="E7" s="78"/>
      <c r="F7" s="78"/>
      <c r="G7" s="78"/>
      <c r="H7" s="78"/>
      <c r="I7" s="78"/>
      <c r="J7" s="78"/>
      <c r="K7" s="78"/>
      <c r="L7" s="78"/>
      <c r="M7" s="78"/>
      <c r="N7" s="78"/>
      <c r="O7" s="78"/>
      <c r="P7" s="78"/>
      <c r="Q7" s="78"/>
      <c r="R7" s="78"/>
      <c r="S7" s="78"/>
      <c r="T7" s="78"/>
      <c r="U7" s="78"/>
      <c r="V7" s="78"/>
      <c r="W7" s="78"/>
      <c r="X7" s="78"/>
      <c r="Y7" s="78"/>
      <c r="Z7" s="78"/>
      <c r="AA7" s="78"/>
      <c r="AB7" s="78"/>
      <c r="AC7" s="78"/>
      <c r="AD7" s="78"/>
      <c r="AE7" s="78"/>
      <c r="AF7" s="78"/>
      <c r="AG7" s="78"/>
    </row>
    <row r="8" spans="2:33" ht="7.5" customHeight="1" x14ac:dyDescent="0.25">
      <c r="B8" s="78"/>
      <c r="C8" s="78"/>
      <c r="D8" s="78"/>
      <c r="E8" s="78"/>
      <c r="F8" s="78"/>
      <c r="G8" s="78"/>
      <c r="H8" s="78"/>
      <c r="I8" s="78"/>
      <c r="J8" s="78"/>
      <c r="K8" s="78"/>
      <c r="L8" s="78"/>
      <c r="M8" s="78"/>
      <c r="N8" s="78"/>
      <c r="O8" s="78"/>
      <c r="P8" s="78"/>
      <c r="Q8" s="78"/>
      <c r="R8" s="78"/>
      <c r="S8" s="78"/>
      <c r="T8" s="78"/>
      <c r="U8" s="78"/>
      <c r="V8" s="78"/>
      <c r="W8" s="78"/>
      <c r="X8" s="78"/>
      <c r="Y8" s="78"/>
      <c r="Z8" s="78"/>
      <c r="AA8" s="78"/>
      <c r="AB8" s="78"/>
      <c r="AC8" s="78"/>
      <c r="AD8" s="78"/>
      <c r="AE8" s="78"/>
      <c r="AF8" s="78"/>
      <c r="AG8" s="78"/>
    </row>
    <row r="9" spans="2:33" x14ac:dyDescent="0.25">
      <c r="B9" s="29" t="s">
        <v>266</v>
      </c>
    </row>
    <row r="10" spans="2:33" x14ac:dyDescent="0.25">
      <c r="B10" s="78" t="s">
        <v>268</v>
      </c>
      <c r="C10" s="78"/>
      <c r="D10" s="78"/>
      <c r="E10" s="78"/>
      <c r="F10" s="78"/>
      <c r="G10" s="78"/>
      <c r="H10" s="78"/>
      <c r="I10" s="78"/>
      <c r="J10" s="78"/>
      <c r="K10" s="78"/>
      <c r="L10" s="78"/>
      <c r="M10" s="78"/>
      <c r="N10" s="78"/>
      <c r="O10" s="78"/>
      <c r="P10" s="78"/>
      <c r="Q10" s="78"/>
      <c r="R10" s="78"/>
      <c r="S10" s="78"/>
      <c r="T10" s="78"/>
      <c r="U10" s="78"/>
      <c r="V10" s="78"/>
      <c r="W10" s="78"/>
      <c r="X10" s="78"/>
      <c r="Y10" s="78"/>
      <c r="Z10" s="78"/>
      <c r="AA10" s="78"/>
      <c r="AB10" s="78"/>
      <c r="AC10" s="78"/>
      <c r="AD10" s="78"/>
      <c r="AE10" s="78"/>
      <c r="AF10" s="78"/>
      <c r="AG10" s="78"/>
    </row>
    <row r="11" spans="2:33" x14ac:dyDescent="0.25">
      <c r="B11" s="78"/>
      <c r="C11" s="78"/>
      <c r="D11" s="78"/>
      <c r="E11" s="78"/>
      <c r="F11" s="78"/>
      <c r="G11" s="78"/>
      <c r="H11" s="78"/>
      <c r="I11" s="78"/>
      <c r="J11" s="78"/>
      <c r="K11" s="78"/>
      <c r="L11" s="78"/>
      <c r="M11" s="78"/>
      <c r="N11" s="78"/>
      <c r="O11" s="78"/>
      <c r="P11" s="78"/>
      <c r="Q11" s="78"/>
      <c r="R11" s="78"/>
      <c r="S11" s="78"/>
      <c r="T11" s="78"/>
      <c r="U11" s="78"/>
      <c r="V11" s="78"/>
      <c r="W11" s="78"/>
      <c r="X11" s="78"/>
      <c r="Y11" s="78"/>
      <c r="Z11" s="78"/>
      <c r="AA11" s="78"/>
      <c r="AB11" s="78"/>
      <c r="AC11" s="78"/>
      <c r="AD11" s="78"/>
      <c r="AE11" s="78"/>
      <c r="AF11" s="78"/>
      <c r="AG11" s="78"/>
    </row>
    <row r="12" spans="2:33" x14ac:dyDescent="0.25">
      <c r="B12" s="78"/>
      <c r="C12" s="78"/>
      <c r="D12" s="78"/>
      <c r="E12" s="78"/>
      <c r="F12" s="78"/>
      <c r="G12" s="78"/>
      <c r="H12" s="78"/>
      <c r="I12" s="78"/>
      <c r="J12" s="78"/>
      <c r="K12" s="78"/>
      <c r="L12" s="78"/>
      <c r="M12" s="78"/>
      <c r="N12" s="78"/>
      <c r="O12" s="78"/>
      <c r="P12" s="78"/>
      <c r="Q12" s="78"/>
      <c r="R12" s="78"/>
      <c r="S12" s="78"/>
      <c r="T12" s="78"/>
      <c r="U12" s="78"/>
      <c r="V12" s="78"/>
      <c r="W12" s="78"/>
      <c r="X12" s="78"/>
      <c r="Y12" s="78"/>
      <c r="Z12" s="78"/>
      <c r="AA12" s="78"/>
      <c r="AB12" s="78"/>
      <c r="AC12" s="78"/>
      <c r="AD12" s="78"/>
      <c r="AE12" s="78"/>
      <c r="AF12" s="78"/>
      <c r="AG12" s="78"/>
    </row>
    <row r="13" spans="2:33" x14ac:dyDescent="0.25">
      <c r="B13" s="78"/>
      <c r="C13" s="78"/>
      <c r="D13" s="78"/>
      <c r="E13" s="78"/>
      <c r="F13" s="78"/>
      <c r="G13" s="78"/>
      <c r="H13" s="78"/>
      <c r="I13" s="78"/>
      <c r="J13" s="78"/>
      <c r="K13" s="78"/>
      <c r="L13" s="78"/>
      <c r="M13" s="78"/>
      <c r="N13" s="78"/>
      <c r="O13" s="78"/>
      <c r="P13" s="78"/>
      <c r="Q13" s="78"/>
      <c r="R13" s="78"/>
      <c r="S13" s="78"/>
      <c r="T13" s="78"/>
      <c r="U13" s="78"/>
      <c r="V13" s="78"/>
      <c r="W13" s="78"/>
      <c r="X13" s="78"/>
      <c r="Y13" s="78"/>
      <c r="Z13" s="78"/>
      <c r="AA13" s="78"/>
      <c r="AB13" s="78"/>
      <c r="AC13" s="78"/>
      <c r="AD13" s="78"/>
      <c r="AE13" s="78"/>
      <c r="AF13" s="78"/>
      <c r="AG13" s="78"/>
    </row>
    <row r="14" spans="2:33" x14ac:dyDescent="0.25">
      <c r="B14" s="78"/>
      <c r="C14" s="78"/>
      <c r="D14" s="78"/>
      <c r="E14" s="78"/>
      <c r="F14" s="78"/>
      <c r="G14" s="78"/>
      <c r="H14" s="78"/>
      <c r="I14" s="78"/>
      <c r="J14" s="78"/>
      <c r="K14" s="78"/>
      <c r="L14" s="78"/>
      <c r="M14" s="78"/>
      <c r="N14" s="78"/>
      <c r="O14" s="78"/>
      <c r="P14" s="78"/>
      <c r="Q14" s="78"/>
      <c r="R14" s="78"/>
      <c r="S14" s="78"/>
      <c r="T14" s="78"/>
      <c r="U14" s="78"/>
      <c r="V14" s="78"/>
      <c r="W14" s="78"/>
      <c r="X14" s="78"/>
      <c r="Y14" s="78"/>
      <c r="Z14" s="78"/>
      <c r="AA14" s="78"/>
      <c r="AB14" s="78"/>
      <c r="AC14" s="78"/>
      <c r="AD14" s="78"/>
      <c r="AE14" s="78"/>
      <c r="AF14" s="78"/>
      <c r="AG14" s="78"/>
    </row>
    <row r="15" spans="2:33" x14ac:dyDescent="0.25">
      <c r="B15" s="78"/>
      <c r="C15" s="78"/>
      <c r="D15" s="78"/>
      <c r="E15" s="78"/>
      <c r="F15" s="78"/>
      <c r="G15" s="78"/>
      <c r="H15" s="78"/>
      <c r="I15" s="78"/>
      <c r="J15" s="78"/>
      <c r="K15" s="78"/>
      <c r="L15" s="78"/>
      <c r="M15" s="78"/>
      <c r="N15" s="78"/>
      <c r="O15" s="78"/>
      <c r="P15" s="78"/>
      <c r="Q15" s="78"/>
      <c r="R15" s="78"/>
      <c r="S15" s="78"/>
      <c r="T15" s="78"/>
      <c r="U15" s="78"/>
      <c r="V15" s="78"/>
      <c r="W15" s="78"/>
      <c r="X15" s="78"/>
      <c r="Y15" s="78"/>
      <c r="Z15" s="78"/>
      <c r="AA15" s="78"/>
      <c r="AB15" s="78"/>
      <c r="AC15" s="78"/>
      <c r="AD15" s="78"/>
      <c r="AE15" s="78"/>
      <c r="AF15" s="78"/>
      <c r="AG15" s="78"/>
    </row>
    <row r="16" spans="2:33" x14ac:dyDescent="0.25">
      <c r="B16" s="78"/>
      <c r="C16" s="78"/>
      <c r="D16" s="78"/>
      <c r="E16" s="78"/>
      <c r="F16" s="78"/>
      <c r="G16" s="78"/>
      <c r="H16" s="78"/>
      <c r="I16" s="78"/>
      <c r="J16" s="78"/>
      <c r="K16" s="78"/>
      <c r="L16" s="78"/>
      <c r="M16" s="78"/>
      <c r="N16" s="78"/>
      <c r="O16" s="78"/>
      <c r="P16" s="78"/>
      <c r="Q16" s="78"/>
      <c r="R16" s="78"/>
      <c r="S16" s="78"/>
      <c r="T16" s="78"/>
      <c r="U16" s="78"/>
      <c r="V16" s="78"/>
      <c r="W16" s="78"/>
      <c r="X16" s="78"/>
      <c r="Y16" s="78"/>
      <c r="Z16" s="78"/>
      <c r="AA16" s="78"/>
      <c r="AB16" s="78"/>
      <c r="AC16" s="78"/>
      <c r="AD16" s="78"/>
      <c r="AE16" s="78"/>
      <c r="AF16" s="78"/>
      <c r="AG16" s="78"/>
    </row>
    <row r="17" spans="2:33" x14ac:dyDescent="0.25">
      <c r="B17" s="78"/>
      <c r="C17" s="78"/>
      <c r="D17" s="78"/>
      <c r="E17" s="78"/>
      <c r="F17" s="78"/>
      <c r="G17" s="78"/>
      <c r="H17" s="78"/>
      <c r="I17" s="78"/>
      <c r="J17" s="78"/>
      <c r="K17" s="78"/>
      <c r="L17" s="78"/>
      <c r="M17" s="78"/>
      <c r="N17" s="78"/>
      <c r="O17" s="78"/>
      <c r="P17" s="78"/>
      <c r="Q17" s="78"/>
      <c r="R17" s="78"/>
      <c r="S17" s="78"/>
      <c r="T17" s="78"/>
      <c r="U17" s="78"/>
      <c r="V17" s="78"/>
      <c r="W17" s="78"/>
      <c r="X17" s="78"/>
      <c r="Y17" s="78"/>
      <c r="Z17" s="78"/>
      <c r="AA17" s="78"/>
      <c r="AB17" s="78"/>
      <c r="AC17" s="78"/>
      <c r="AD17" s="78"/>
      <c r="AE17" s="78"/>
      <c r="AF17" s="78"/>
      <c r="AG17" s="78"/>
    </row>
    <row r="18" spans="2:33" x14ac:dyDescent="0.25">
      <c r="B18" s="78"/>
      <c r="C18" s="78"/>
      <c r="D18" s="78"/>
      <c r="E18" s="78"/>
      <c r="F18" s="78"/>
      <c r="G18" s="78"/>
      <c r="H18" s="78"/>
      <c r="I18" s="78"/>
      <c r="J18" s="78"/>
      <c r="K18" s="78"/>
      <c r="L18" s="78"/>
      <c r="M18" s="78"/>
      <c r="N18" s="78"/>
      <c r="O18" s="78"/>
      <c r="P18" s="78"/>
      <c r="Q18" s="78"/>
      <c r="R18" s="78"/>
      <c r="S18" s="78"/>
      <c r="T18" s="78"/>
      <c r="U18" s="78"/>
      <c r="V18" s="78"/>
      <c r="W18" s="78"/>
      <c r="X18" s="78"/>
      <c r="Y18" s="78"/>
      <c r="Z18" s="78"/>
      <c r="AA18" s="78"/>
      <c r="AB18" s="78"/>
      <c r="AC18" s="78"/>
      <c r="AD18" s="78"/>
      <c r="AE18" s="78"/>
      <c r="AF18" s="78"/>
      <c r="AG18" s="78"/>
    </row>
    <row r="19" spans="2:33" x14ac:dyDescent="0.25">
      <c r="B19" s="78"/>
      <c r="C19" s="78"/>
      <c r="D19" s="78"/>
      <c r="E19" s="78"/>
      <c r="F19" s="78"/>
      <c r="G19" s="78"/>
      <c r="H19" s="78"/>
      <c r="I19" s="78"/>
      <c r="J19" s="78"/>
      <c r="K19" s="78"/>
      <c r="L19" s="78"/>
      <c r="M19" s="78"/>
      <c r="N19" s="78"/>
      <c r="O19" s="78"/>
      <c r="P19" s="78"/>
      <c r="Q19" s="78"/>
      <c r="R19" s="78"/>
      <c r="S19" s="78"/>
      <c r="T19" s="78"/>
      <c r="U19" s="78"/>
      <c r="V19" s="78"/>
      <c r="W19" s="78"/>
      <c r="X19" s="78"/>
      <c r="Y19" s="78"/>
      <c r="Z19" s="78"/>
      <c r="AA19" s="78"/>
      <c r="AB19" s="78"/>
      <c r="AC19" s="78"/>
      <c r="AD19" s="78"/>
      <c r="AE19" s="78"/>
      <c r="AF19" s="78"/>
      <c r="AG19" s="78"/>
    </row>
    <row r="20" spans="2:33" x14ac:dyDescent="0.25">
      <c r="B20" s="78"/>
      <c r="C20" s="78"/>
      <c r="D20" s="78"/>
      <c r="E20" s="78"/>
      <c r="F20" s="78"/>
      <c r="G20" s="78"/>
      <c r="H20" s="78"/>
      <c r="I20" s="78"/>
      <c r="J20" s="78"/>
      <c r="K20" s="78"/>
      <c r="L20" s="78"/>
      <c r="M20" s="78"/>
      <c r="N20" s="78"/>
      <c r="O20" s="78"/>
      <c r="P20" s="78"/>
      <c r="Q20" s="78"/>
      <c r="R20" s="78"/>
      <c r="S20" s="78"/>
      <c r="T20" s="78"/>
      <c r="U20" s="78"/>
      <c r="V20" s="78"/>
      <c r="W20" s="78"/>
      <c r="X20" s="78"/>
      <c r="Y20" s="78"/>
      <c r="Z20" s="78"/>
      <c r="AA20" s="78"/>
      <c r="AB20" s="78"/>
      <c r="AC20" s="78"/>
      <c r="AD20" s="78"/>
      <c r="AE20" s="78"/>
      <c r="AF20" s="78"/>
      <c r="AG20" s="78"/>
    </row>
    <row r="21" spans="2:33" x14ac:dyDescent="0.25">
      <c r="B21" s="78"/>
      <c r="C21" s="78"/>
      <c r="D21" s="78"/>
      <c r="E21" s="78"/>
      <c r="F21" s="78"/>
      <c r="G21" s="78"/>
      <c r="H21" s="78"/>
      <c r="I21" s="78"/>
      <c r="J21" s="78"/>
      <c r="K21" s="78"/>
      <c r="L21" s="78"/>
      <c r="M21" s="78"/>
      <c r="N21" s="78"/>
      <c r="O21" s="78"/>
      <c r="P21" s="78"/>
      <c r="Q21" s="78"/>
      <c r="R21" s="78"/>
      <c r="S21" s="78"/>
      <c r="T21" s="78"/>
      <c r="U21" s="78"/>
      <c r="V21" s="78"/>
      <c r="W21" s="78"/>
      <c r="X21" s="78"/>
      <c r="Y21" s="78"/>
      <c r="Z21" s="78"/>
      <c r="AA21" s="78"/>
      <c r="AB21" s="78"/>
      <c r="AC21" s="78"/>
      <c r="AD21" s="78"/>
      <c r="AE21" s="78"/>
      <c r="AF21" s="78"/>
      <c r="AG21" s="78"/>
    </row>
    <row r="22" spans="2:33" x14ac:dyDescent="0.25">
      <c r="B22" s="78"/>
      <c r="C22" s="78"/>
      <c r="D22" s="78"/>
      <c r="E22" s="78"/>
      <c r="F22" s="78"/>
      <c r="G22" s="78"/>
      <c r="H22" s="78"/>
      <c r="I22" s="78"/>
      <c r="J22" s="78"/>
      <c r="K22" s="78"/>
      <c r="L22" s="78"/>
      <c r="M22" s="78"/>
      <c r="N22" s="78"/>
      <c r="O22" s="78"/>
      <c r="P22" s="78"/>
      <c r="Q22" s="78"/>
      <c r="R22" s="78"/>
      <c r="S22" s="78"/>
      <c r="T22" s="78"/>
      <c r="U22" s="78"/>
      <c r="V22" s="78"/>
      <c r="W22" s="78"/>
      <c r="X22" s="78"/>
      <c r="Y22" s="78"/>
      <c r="Z22" s="78"/>
      <c r="AA22" s="78"/>
      <c r="AB22" s="78"/>
      <c r="AC22" s="78"/>
      <c r="AD22" s="78"/>
      <c r="AE22" s="78"/>
      <c r="AF22" s="78"/>
      <c r="AG22" s="78"/>
    </row>
    <row r="23" spans="2:33" x14ac:dyDescent="0.25">
      <c r="B23" s="78"/>
      <c r="C23" s="78"/>
      <c r="D23" s="78"/>
      <c r="E23" s="78"/>
      <c r="F23" s="78"/>
      <c r="G23" s="78"/>
      <c r="H23" s="78"/>
      <c r="I23" s="78"/>
      <c r="J23" s="78"/>
      <c r="K23" s="78"/>
      <c r="L23" s="78"/>
      <c r="M23" s="78"/>
      <c r="N23" s="78"/>
      <c r="O23" s="78"/>
      <c r="P23" s="78"/>
      <c r="Q23" s="78"/>
      <c r="R23" s="78"/>
      <c r="S23" s="78"/>
      <c r="T23" s="78"/>
      <c r="U23" s="78"/>
      <c r="V23" s="78"/>
      <c r="W23" s="78"/>
      <c r="X23" s="78"/>
      <c r="Y23" s="78"/>
      <c r="Z23" s="78"/>
      <c r="AA23" s="78"/>
      <c r="AB23" s="78"/>
      <c r="AC23" s="78"/>
      <c r="AD23" s="78"/>
      <c r="AE23" s="78"/>
      <c r="AF23" s="78"/>
      <c r="AG23" s="78"/>
    </row>
    <row r="24" spans="2:33" x14ac:dyDescent="0.25">
      <c r="B24" s="78"/>
      <c r="C24" s="78"/>
      <c r="D24" s="78"/>
      <c r="E24" s="78"/>
      <c r="F24" s="78"/>
      <c r="G24" s="78"/>
      <c r="H24" s="78"/>
      <c r="I24" s="78"/>
      <c r="J24" s="78"/>
      <c r="K24" s="78"/>
      <c r="L24" s="78"/>
      <c r="M24" s="78"/>
      <c r="N24" s="78"/>
      <c r="O24" s="78"/>
      <c r="P24" s="78"/>
      <c r="Q24" s="78"/>
      <c r="R24" s="78"/>
      <c r="S24" s="78"/>
      <c r="T24" s="78"/>
      <c r="U24" s="78"/>
      <c r="V24" s="78"/>
      <c r="W24" s="78"/>
      <c r="X24" s="78"/>
      <c r="Y24" s="78"/>
      <c r="Z24" s="78"/>
      <c r="AA24" s="78"/>
      <c r="AB24" s="78"/>
      <c r="AC24" s="78"/>
      <c r="AD24" s="78"/>
      <c r="AE24" s="78"/>
      <c r="AF24" s="78"/>
      <c r="AG24" s="78"/>
    </row>
    <row r="25" spans="2:33" x14ac:dyDescent="0.25">
      <c r="B25" s="78"/>
      <c r="C25" s="78"/>
      <c r="D25" s="78"/>
      <c r="E25" s="78"/>
      <c r="F25" s="78"/>
      <c r="G25" s="78"/>
      <c r="H25" s="78"/>
      <c r="I25" s="78"/>
      <c r="J25" s="78"/>
      <c r="K25" s="78"/>
      <c r="L25" s="78"/>
      <c r="M25" s="78"/>
      <c r="N25" s="78"/>
      <c r="O25" s="78"/>
      <c r="P25" s="78"/>
      <c r="Q25" s="78"/>
      <c r="R25" s="78"/>
      <c r="S25" s="78"/>
      <c r="T25" s="78"/>
      <c r="U25" s="78"/>
      <c r="V25" s="78"/>
      <c r="W25" s="78"/>
      <c r="X25" s="78"/>
      <c r="Y25" s="78"/>
      <c r="Z25" s="78"/>
      <c r="AA25" s="78"/>
      <c r="AB25" s="78"/>
      <c r="AC25" s="78"/>
      <c r="AD25" s="78"/>
      <c r="AE25" s="78"/>
      <c r="AF25" s="78"/>
      <c r="AG25" s="78"/>
    </row>
    <row r="26" spans="2:33" x14ac:dyDescent="0.25">
      <c r="B26" s="78"/>
      <c r="C26" s="78"/>
      <c r="D26" s="78"/>
      <c r="E26" s="78"/>
      <c r="F26" s="78"/>
      <c r="G26" s="78"/>
      <c r="H26" s="78"/>
      <c r="I26" s="78"/>
      <c r="J26" s="78"/>
      <c r="K26" s="78"/>
      <c r="L26" s="78"/>
      <c r="M26" s="78"/>
      <c r="N26" s="78"/>
      <c r="O26" s="78"/>
      <c r="P26" s="78"/>
      <c r="Q26" s="78"/>
      <c r="R26" s="78"/>
      <c r="S26" s="78"/>
      <c r="T26" s="78"/>
      <c r="U26" s="78"/>
      <c r="V26" s="78"/>
      <c r="W26" s="78"/>
      <c r="X26" s="78"/>
      <c r="Y26" s="78"/>
      <c r="Z26" s="78"/>
      <c r="AA26" s="78"/>
      <c r="AB26" s="78"/>
      <c r="AC26" s="78"/>
      <c r="AD26" s="78"/>
      <c r="AE26" s="78"/>
      <c r="AF26" s="78"/>
      <c r="AG26" s="78"/>
    </row>
    <row r="27" spans="2:33" x14ac:dyDescent="0.25">
      <c r="B27" s="78"/>
      <c r="C27" s="78"/>
      <c r="D27" s="78"/>
      <c r="E27" s="78"/>
      <c r="F27" s="78"/>
      <c r="G27" s="78"/>
      <c r="H27" s="78"/>
      <c r="I27" s="78"/>
      <c r="J27" s="78"/>
      <c r="K27" s="78"/>
      <c r="L27" s="78"/>
      <c r="M27" s="78"/>
      <c r="N27" s="78"/>
      <c r="O27" s="78"/>
      <c r="P27" s="78"/>
      <c r="Q27" s="78"/>
      <c r="R27" s="78"/>
      <c r="S27" s="78"/>
      <c r="T27" s="78"/>
      <c r="U27" s="78"/>
      <c r="V27" s="78"/>
      <c r="W27" s="78"/>
      <c r="X27" s="78"/>
      <c r="Y27" s="78"/>
      <c r="Z27" s="78"/>
      <c r="AA27" s="78"/>
      <c r="AB27" s="78"/>
      <c r="AC27" s="78"/>
      <c r="AD27" s="78"/>
      <c r="AE27" s="78"/>
      <c r="AF27" s="78"/>
      <c r="AG27" s="78"/>
    </row>
    <row r="28" spans="2:33" x14ac:dyDescent="0.25">
      <c r="B28" s="78"/>
      <c r="C28" s="78"/>
      <c r="D28" s="78"/>
      <c r="E28" s="78"/>
      <c r="F28" s="78"/>
      <c r="G28" s="78"/>
      <c r="H28" s="78"/>
      <c r="I28" s="78"/>
      <c r="J28" s="78"/>
      <c r="K28" s="78"/>
      <c r="L28" s="78"/>
      <c r="M28" s="78"/>
      <c r="N28" s="78"/>
      <c r="O28" s="78"/>
      <c r="P28" s="78"/>
      <c r="Q28" s="78"/>
      <c r="R28" s="78"/>
      <c r="S28" s="78"/>
      <c r="T28" s="78"/>
      <c r="U28" s="78"/>
      <c r="V28" s="78"/>
      <c r="W28" s="78"/>
      <c r="X28" s="78"/>
      <c r="Y28" s="78"/>
      <c r="Z28" s="78"/>
      <c r="AA28" s="78"/>
      <c r="AB28" s="78"/>
      <c r="AC28" s="78"/>
      <c r="AD28" s="78"/>
      <c r="AE28" s="78"/>
      <c r="AF28" s="78"/>
      <c r="AG28" s="78"/>
    </row>
    <row r="29" spans="2:33" x14ac:dyDescent="0.25">
      <c r="B29" s="78"/>
      <c r="C29" s="78"/>
      <c r="D29" s="78"/>
      <c r="E29" s="78"/>
      <c r="F29" s="78"/>
      <c r="G29" s="78"/>
      <c r="H29" s="78"/>
      <c r="I29" s="78"/>
      <c r="J29" s="78"/>
      <c r="K29" s="78"/>
      <c r="L29" s="78"/>
      <c r="M29" s="78"/>
      <c r="N29" s="78"/>
      <c r="O29" s="78"/>
      <c r="P29" s="78"/>
      <c r="Q29" s="78"/>
      <c r="R29" s="78"/>
      <c r="S29" s="78"/>
      <c r="T29" s="78"/>
      <c r="U29" s="78"/>
      <c r="V29" s="78"/>
      <c r="W29" s="78"/>
      <c r="X29" s="78"/>
      <c r="Y29" s="78"/>
      <c r="Z29" s="78"/>
      <c r="AA29" s="78"/>
      <c r="AB29" s="78"/>
      <c r="AC29" s="78"/>
      <c r="AD29" s="78"/>
      <c r="AE29" s="78"/>
      <c r="AF29" s="78"/>
      <c r="AG29" s="78"/>
    </row>
    <row r="30" spans="2:33" x14ac:dyDescent="0.25">
      <c r="B30" s="78"/>
      <c r="C30" s="78"/>
      <c r="D30" s="78"/>
      <c r="E30" s="78"/>
      <c r="F30" s="78"/>
      <c r="G30" s="78"/>
      <c r="H30" s="78"/>
      <c r="I30" s="78"/>
      <c r="J30" s="78"/>
      <c r="K30" s="78"/>
      <c r="L30" s="78"/>
      <c r="M30" s="78"/>
      <c r="N30" s="78"/>
      <c r="O30" s="78"/>
      <c r="P30" s="78"/>
      <c r="Q30" s="78"/>
      <c r="R30" s="78"/>
      <c r="S30" s="78"/>
      <c r="T30" s="78"/>
      <c r="U30" s="78"/>
      <c r="V30" s="78"/>
      <c r="W30" s="78"/>
      <c r="X30" s="78"/>
      <c r="Y30" s="78"/>
      <c r="Z30" s="78"/>
      <c r="AA30" s="78"/>
      <c r="AB30" s="78"/>
      <c r="AC30" s="78"/>
      <c r="AD30" s="78"/>
      <c r="AE30" s="78"/>
      <c r="AF30" s="78"/>
      <c r="AG30" s="78"/>
    </row>
    <row r="31" spans="2:33" x14ac:dyDescent="0.25">
      <c r="B31" s="78"/>
      <c r="C31" s="78"/>
      <c r="D31" s="78"/>
      <c r="E31" s="78"/>
      <c r="F31" s="78"/>
      <c r="G31" s="78"/>
      <c r="H31" s="78"/>
      <c r="I31" s="78"/>
      <c r="J31" s="78"/>
      <c r="K31" s="78"/>
      <c r="L31" s="78"/>
      <c r="M31" s="78"/>
      <c r="N31" s="78"/>
      <c r="O31" s="78"/>
      <c r="P31" s="78"/>
      <c r="Q31" s="78"/>
      <c r="R31" s="78"/>
      <c r="S31" s="78"/>
      <c r="T31" s="78"/>
      <c r="U31" s="78"/>
      <c r="V31" s="78"/>
      <c r="W31" s="78"/>
      <c r="X31" s="78"/>
      <c r="Y31" s="78"/>
      <c r="Z31" s="78"/>
      <c r="AA31" s="78"/>
      <c r="AB31" s="78"/>
      <c r="AC31" s="78"/>
      <c r="AD31" s="78"/>
      <c r="AE31" s="78"/>
      <c r="AF31" s="78"/>
      <c r="AG31" s="78"/>
    </row>
    <row r="32" spans="2:33" x14ac:dyDescent="0.25">
      <c r="B32" s="78"/>
      <c r="C32" s="78"/>
      <c r="D32" s="78"/>
      <c r="E32" s="78"/>
      <c r="F32" s="78"/>
      <c r="G32" s="78"/>
      <c r="H32" s="78"/>
      <c r="I32" s="78"/>
      <c r="J32" s="78"/>
      <c r="K32" s="78"/>
      <c r="L32" s="78"/>
      <c r="M32" s="78"/>
      <c r="N32" s="78"/>
      <c r="O32" s="78"/>
      <c r="P32" s="78"/>
      <c r="Q32" s="78"/>
      <c r="R32" s="78"/>
      <c r="S32" s="78"/>
      <c r="T32" s="78"/>
      <c r="U32" s="78"/>
      <c r="V32" s="78"/>
      <c r="W32" s="78"/>
      <c r="X32" s="78"/>
      <c r="Y32" s="78"/>
      <c r="Z32" s="78"/>
      <c r="AA32" s="78"/>
      <c r="AB32" s="78"/>
      <c r="AC32" s="78"/>
      <c r="AD32" s="78"/>
      <c r="AE32" s="78"/>
      <c r="AF32" s="78"/>
      <c r="AG32" s="78"/>
    </row>
    <row r="33" spans="2:33" x14ac:dyDescent="0.25">
      <c r="B33" s="78"/>
      <c r="C33" s="78"/>
      <c r="D33" s="78"/>
      <c r="E33" s="78"/>
      <c r="F33" s="78"/>
      <c r="G33" s="78"/>
      <c r="H33" s="78"/>
      <c r="I33" s="78"/>
      <c r="J33" s="78"/>
      <c r="K33" s="78"/>
      <c r="L33" s="78"/>
      <c r="M33" s="78"/>
      <c r="N33" s="78"/>
      <c r="O33" s="78"/>
      <c r="P33" s="78"/>
      <c r="Q33" s="78"/>
      <c r="R33" s="78"/>
      <c r="S33" s="78"/>
      <c r="T33" s="78"/>
      <c r="U33" s="78"/>
      <c r="V33" s="78"/>
      <c r="W33" s="78"/>
      <c r="X33" s="78"/>
      <c r="Y33" s="78"/>
      <c r="Z33" s="78"/>
      <c r="AA33" s="78"/>
      <c r="AB33" s="78"/>
      <c r="AC33" s="78"/>
      <c r="AD33" s="78"/>
      <c r="AE33" s="78"/>
      <c r="AF33" s="78"/>
      <c r="AG33" s="78"/>
    </row>
    <row r="34" spans="2:33" x14ac:dyDescent="0.25">
      <c r="B34" s="78"/>
      <c r="C34" s="78"/>
      <c r="D34" s="78"/>
      <c r="E34" s="78"/>
      <c r="F34" s="78"/>
      <c r="G34" s="78"/>
      <c r="H34" s="78"/>
      <c r="I34" s="78"/>
      <c r="J34" s="78"/>
      <c r="K34" s="78"/>
      <c r="L34" s="78"/>
      <c r="M34" s="78"/>
      <c r="N34" s="78"/>
      <c r="O34" s="78"/>
      <c r="P34" s="78"/>
      <c r="Q34" s="78"/>
      <c r="R34" s="78"/>
      <c r="S34" s="78"/>
      <c r="T34" s="78"/>
      <c r="U34" s="78"/>
      <c r="V34" s="78"/>
      <c r="W34" s="78"/>
      <c r="X34" s="78"/>
      <c r="Y34" s="78"/>
      <c r="Z34" s="78"/>
      <c r="AA34" s="78"/>
      <c r="AB34" s="78"/>
      <c r="AC34" s="78"/>
      <c r="AD34" s="78"/>
      <c r="AE34" s="78"/>
      <c r="AF34" s="78"/>
      <c r="AG34" s="78"/>
    </row>
    <row r="35" spans="2:33" ht="7.5" customHeight="1" x14ac:dyDescent="0.25">
      <c r="B35" s="25"/>
      <c r="C35" s="25"/>
      <c r="D35" s="25"/>
      <c r="E35" s="25"/>
      <c r="F35" s="25"/>
      <c r="G35" s="25"/>
      <c r="H35" s="25"/>
      <c r="I35" s="25"/>
      <c r="J35" s="25"/>
      <c r="K35" s="25"/>
      <c r="L35" s="25"/>
      <c r="M35" s="25"/>
      <c r="N35" s="25"/>
      <c r="O35" s="25"/>
      <c r="P35" s="25"/>
      <c r="Q35" s="25"/>
      <c r="R35" s="25"/>
      <c r="S35" s="25"/>
      <c r="T35" s="25"/>
      <c r="U35" s="25"/>
      <c r="V35" s="25"/>
      <c r="W35" s="25"/>
      <c r="X35" s="25"/>
      <c r="Y35" s="25"/>
      <c r="Z35" s="25"/>
      <c r="AA35" s="25"/>
      <c r="AB35" s="25"/>
      <c r="AC35" s="25"/>
      <c r="AD35" s="25"/>
      <c r="AE35" s="25"/>
      <c r="AF35" s="25"/>
      <c r="AG35" s="25"/>
    </row>
    <row r="36" spans="2:33" x14ac:dyDescent="0.25">
      <c r="B36" s="29" t="s">
        <v>140</v>
      </c>
    </row>
    <row r="37" spans="2:33" x14ac:dyDescent="0.25">
      <c r="B37" s="78" t="s">
        <v>267</v>
      </c>
      <c r="C37" s="78"/>
      <c r="D37" s="78"/>
      <c r="E37" s="78"/>
      <c r="F37" s="78"/>
      <c r="G37" s="78"/>
      <c r="H37" s="78"/>
      <c r="I37" s="78"/>
      <c r="J37" s="78"/>
      <c r="K37" s="78"/>
      <c r="L37" s="78"/>
      <c r="M37" s="78"/>
      <c r="N37" s="78"/>
      <c r="O37" s="78"/>
      <c r="P37" s="78"/>
      <c r="Q37" s="78"/>
      <c r="R37" s="78"/>
      <c r="S37" s="78"/>
      <c r="T37" s="78"/>
      <c r="U37" s="78"/>
      <c r="V37" s="78"/>
      <c r="W37" s="78"/>
      <c r="X37" s="78"/>
      <c r="Y37" s="78"/>
      <c r="Z37" s="78"/>
      <c r="AA37" s="78"/>
      <c r="AB37" s="78"/>
      <c r="AC37" s="78"/>
      <c r="AD37" s="78"/>
      <c r="AE37" s="78"/>
      <c r="AF37" s="78"/>
      <c r="AG37" s="78"/>
    </row>
    <row r="38" spans="2:33" x14ac:dyDescent="0.25">
      <c r="B38" s="78"/>
      <c r="C38" s="78"/>
      <c r="D38" s="78"/>
      <c r="E38" s="78"/>
      <c r="F38" s="78"/>
      <c r="G38" s="78"/>
      <c r="H38" s="78"/>
      <c r="I38" s="78"/>
      <c r="J38" s="78"/>
      <c r="K38" s="78"/>
      <c r="L38" s="78"/>
      <c r="M38" s="78"/>
      <c r="N38" s="78"/>
      <c r="O38" s="78"/>
      <c r="P38" s="78"/>
      <c r="Q38" s="78"/>
      <c r="R38" s="78"/>
      <c r="S38" s="78"/>
      <c r="T38" s="78"/>
      <c r="U38" s="78"/>
      <c r="V38" s="78"/>
      <c r="W38" s="78"/>
      <c r="X38" s="78"/>
      <c r="Y38" s="78"/>
      <c r="Z38" s="78"/>
      <c r="AA38" s="78"/>
      <c r="AB38" s="78"/>
      <c r="AC38" s="78"/>
      <c r="AD38" s="78"/>
      <c r="AE38" s="78"/>
      <c r="AF38" s="78"/>
      <c r="AG38" s="78"/>
    </row>
    <row r="39" spans="2:33" x14ac:dyDescent="0.25">
      <c r="B39" s="78"/>
      <c r="C39" s="78"/>
      <c r="D39" s="78"/>
      <c r="E39" s="78"/>
      <c r="F39" s="78"/>
      <c r="G39" s="78"/>
      <c r="H39" s="78"/>
      <c r="I39" s="78"/>
      <c r="J39" s="78"/>
      <c r="K39" s="78"/>
      <c r="L39" s="78"/>
      <c r="M39" s="78"/>
      <c r="N39" s="78"/>
      <c r="O39" s="78"/>
      <c r="P39" s="78"/>
      <c r="Q39" s="78"/>
      <c r="R39" s="78"/>
      <c r="S39" s="78"/>
      <c r="T39" s="78"/>
      <c r="U39" s="78"/>
      <c r="V39" s="78"/>
      <c r="W39" s="78"/>
      <c r="X39" s="78"/>
      <c r="Y39" s="78"/>
      <c r="Z39" s="78"/>
      <c r="AA39" s="78"/>
      <c r="AB39" s="78"/>
      <c r="AC39" s="78"/>
      <c r="AD39" s="78"/>
      <c r="AE39" s="78"/>
      <c r="AF39" s="78"/>
      <c r="AG39" s="78"/>
    </row>
    <row r="40" spans="2:33" x14ac:dyDescent="0.25">
      <c r="B40" s="78"/>
      <c r="C40" s="78"/>
      <c r="D40" s="78"/>
      <c r="E40" s="78"/>
      <c r="F40" s="78"/>
      <c r="G40" s="78"/>
      <c r="H40" s="78"/>
      <c r="I40" s="78"/>
      <c r="J40" s="78"/>
      <c r="K40" s="78"/>
      <c r="L40" s="78"/>
      <c r="M40" s="78"/>
      <c r="N40" s="78"/>
      <c r="O40" s="78"/>
      <c r="P40" s="78"/>
      <c r="Q40" s="78"/>
      <c r="R40" s="78"/>
      <c r="S40" s="78"/>
      <c r="T40" s="78"/>
      <c r="U40" s="78"/>
      <c r="V40" s="78"/>
      <c r="W40" s="78"/>
      <c r="X40" s="78"/>
      <c r="Y40" s="78"/>
      <c r="Z40" s="78"/>
      <c r="AA40" s="78"/>
      <c r="AB40" s="78"/>
      <c r="AC40" s="78"/>
      <c r="AD40" s="78"/>
      <c r="AE40" s="78"/>
      <c r="AF40" s="78"/>
      <c r="AG40" s="78"/>
    </row>
    <row r="41" spans="2:33" x14ac:dyDescent="0.25">
      <c r="B41" s="78"/>
      <c r="C41" s="78"/>
      <c r="D41" s="78"/>
      <c r="E41" s="78"/>
      <c r="F41" s="78"/>
      <c r="G41" s="78"/>
      <c r="H41" s="78"/>
      <c r="I41" s="78"/>
      <c r="J41" s="78"/>
      <c r="K41" s="78"/>
      <c r="L41" s="78"/>
      <c r="M41" s="78"/>
      <c r="N41" s="78"/>
      <c r="O41" s="78"/>
      <c r="P41" s="78"/>
      <c r="Q41" s="78"/>
      <c r="R41" s="78"/>
      <c r="S41" s="78"/>
      <c r="T41" s="78"/>
      <c r="U41" s="78"/>
      <c r="V41" s="78"/>
      <c r="W41" s="78"/>
      <c r="X41" s="78"/>
      <c r="Y41" s="78"/>
      <c r="Z41" s="78"/>
      <c r="AA41" s="78"/>
      <c r="AB41" s="78"/>
      <c r="AC41" s="78"/>
      <c r="AD41" s="78"/>
      <c r="AE41" s="78"/>
      <c r="AF41" s="78"/>
      <c r="AG41" s="78"/>
    </row>
    <row r="42" spans="2:33" x14ac:dyDescent="0.25">
      <c r="B42" s="78"/>
      <c r="C42" s="78"/>
      <c r="D42" s="78"/>
      <c r="E42" s="78"/>
      <c r="F42" s="78"/>
      <c r="G42" s="78"/>
      <c r="H42" s="78"/>
      <c r="I42" s="78"/>
      <c r="J42" s="78"/>
      <c r="K42" s="78"/>
      <c r="L42" s="78"/>
      <c r="M42" s="78"/>
      <c r="N42" s="78"/>
      <c r="O42" s="78"/>
      <c r="P42" s="78"/>
      <c r="Q42" s="78"/>
      <c r="R42" s="78"/>
      <c r="S42" s="78"/>
      <c r="T42" s="78"/>
      <c r="U42" s="78"/>
      <c r="V42" s="78"/>
      <c r="W42" s="78"/>
      <c r="X42" s="78"/>
      <c r="Y42" s="78"/>
      <c r="Z42" s="78"/>
      <c r="AA42" s="78"/>
      <c r="AB42" s="78"/>
      <c r="AC42" s="78"/>
      <c r="AD42" s="78"/>
      <c r="AE42" s="78"/>
      <c r="AF42" s="78"/>
      <c r="AG42" s="78"/>
    </row>
    <row r="43" spans="2:33" x14ac:dyDescent="0.25">
      <c r="B43" s="78"/>
      <c r="C43" s="78"/>
      <c r="D43" s="78"/>
      <c r="E43" s="78"/>
      <c r="F43" s="78"/>
      <c r="G43" s="78"/>
      <c r="H43" s="78"/>
      <c r="I43" s="78"/>
      <c r="J43" s="78"/>
      <c r="K43" s="78"/>
      <c r="L43" s="78"/>
      <c r="M43" s="78"/>
      <c r="N43" s="78"/>
      <c r="O43" s="78"/>
      <c r="P43" s="78"/>
      <c r="Q43" s="78"/>
      <c r="R43" s="78"/>
      <c r="S43" s="78"/>
      <c r="T43" s="78"/>
      <c r="U43" s="78"/>
      <c r="V43" s="78"/>
      <c r="W43" s="78"/>
      <c r="X43" s="78"/>
      <c r="Y43" s="78"/>
      <c r="Z43" s="78"/>
      <c r="AA43" s="78"/>
      <c r="AB43" s="78"/>
      <c r="AC43" s="78"/>
      <c r="AD43" s="78"/>
      <c r="AE43" s="78"/>
      <c r="AF43" s="78"/>
      <c r="AG43" s="78"/>
    </row>
    <row r="44" spans="2:33" x14ac:dyDescent="0.25">
      <c r="B44" s="78"/>
      <c r="C44" s="78"/>
      <c r="D44" s="78"/>
      <c r="E44" s="78"/>
      <c r="F44" s="78"/>
      <c r="G44" s="78"/>
      <c r="H44" s="78"/>
      <c r="I44" s="78"/>
      <c r="J44" s="78"/>
      <c r="K44" s="78"/>
      <c r="L44" s="78"/>
      <c r="M44" s="78"/>
      <c r="N44" s="78"/>
      <c r="O44" s="78"/>
      <c r="P44" s="78"/>
      <c r="Q44" s="78"/>
      <c r="R44" s="78"/>
      <c r="S44" s="78"/>
      <c r="T44" s="78"/>
      <c r="U44" s="78"/>
      <c r="V44" s="78"/>
      <c r="W44" s="78"/>
      <c r="X44" s="78"/>
      <c r="Y44" s="78"/>
      <c r="Z44" s="78"/>
      <c r="AA44" s="78"/>
      <c r="AB44" s="78"/>
      <c r="AC44" s="78"/>
      <c r="AD44" s="78"/>
      <c r="AE44" s="78"/>
      <c r="AF44" s="78"/>
      <c r="AG44" s="78"/>
    </row>
    <row r="45" spans="2:33" x14ac:dyDescent="0.25">
      <c r="B45" s="78"/>
      <c r="C45" s="78"/>
      <c r="D45" s="78"/>
      <c r="E45" s="78"/>
      <c r="F45" s="78"/>
      <c r="G45" s="78"/>
      <c r="H45" s="78"/>
      <c r="I45" s="78"/>
      <c r="J45" s="78"/>
      <c r="K45" s="78"/>
      <c r="L45" s="78"/>
      <c r="M45" s="78"/>
      <c r="N45" s="78"/>
      <c r="O45" s="78"/>
      <c r="P45" s="78"/>
      <c r="Q45" s="78"/>
      <c r="R45" s="78"/>
      <c r="S45" s="78"/>
      <c r="T45" s="78"/>
      <c r="U45" s="78"/>
      <c r="V45" s="78"/>
      <c r="W45" s="78"/>
      <c r="X45" s="78"/>
      <c r="Y45" s="78"/>
      <c r="Z45" s="78"/>
      <c r="AA45" s="78"/>
      <c r="AB45" s="78"/>
      <c r="AC45" s="78"/>
      <c r="AD45" s="78"/>
      <c r="AE45" s="78"/>
      <c r="AF45" s="78"/>
      <c r="AG45" s="78"/>
    </row>
    <row r="46" spans="2:33" x14ac:dyDescent="0.25">
      <c r="B46" s="78"/>
      <c r="C46" s="78"/>
      <c r="D46" s="78"/>
      <c r="E46" s="78"/>
      <c r="F46" s="78"/>
      <c r="G46" s="78"/>
      <c r="H46" s="78"/>
      <c r="I46" s="78"/>
      <c r="J46" s="78"/>
      <c r="K46" s="78"/>
      <c r="L46" s="78"/>
      <c r="M46" s="78"/>
      <c r="N46" s="78"/>
      <c r="O46" s="78"/>
      <c r="P46" s="78"/>
      <c r="Q46" s="78"/>
      <c r="R46" s="78"/>
      <c r="S46" s="78"/>
      <c r="T46" s="78"/>
      <c r="U46" s="78"/>
      <c r="V46" s="78"/>
      <c r="W46" s="78"/>
      <c r="X46" s="78"/>
      <c r="Y46" s="78"/>
      <c r="Z46" s="78"/>
      <c r="AA46" s="78"/>
      <c r="AB46" s="78"/>
      <c r="AC46" s="78"/>
      <c r="AD46" s="78"/>
      <c r="AE46" s="78"/>
      <c r="AF46" s="78"/>
      <c r="AG46" s="78"/>
    </row>
    <row r="47" spans="2:33" x14ac:dyDescent="0.25">
      <c r="B47" s="78"/>
      <c r="C47" s="78"/>
      <c r="D47" s="78"/>
      <c r="E47" s="78"/>
      <c r="F47" s="78"/>
      <c r="G47" s="78"/>
      <c r="H47" s="78"/>
      <c r="I47" s="78"/>
      <c r="J47" s="78"/>
      <c r="K47" s="78"/>
      <c r="L47" s="78"/>
      <c r="M47" s="78"/>
      <c r="N47" s="78"/>
      <c r="O47" s="78"/>
      <c r="P47" s="78"/>
      <c r="Q47" s="78"/>
      <c r="R47" s="78"/>
      <c r="S47" s="78"/>
      <c r="T47" s="78"/>
      <c r="U47" s="78"/>
      <c r="V47" s="78"/>
      <c r="W47" s="78"/>
      <c r="X47" s="78"/>
      <c r="Y47" s="78"/>
      <c r="Z47" s="78"/>
      <c r="AA47" s="78"/>
      <c r="AB47" s="78"/>
      <c r="AC47" s="78"/>
      <c r="AD47" s="78"/>
      <c r="AE47" s="78"/>
      <c r="AF47" s="78"/>
      <c r="AG47" s="78"/>
    </row>
    <row r="48" spans="2:33" x14ac:dyDescent="0.25">
      <c r="B48" s="78"/>
      <c r="C48" s="78"/>
      <c r="D48" s="78"/>
      <c r="E48" s="78"/>
      <c r="F48" s="78"/>
      <c r="G48" s="78"/>
      <c r="H48" s="78"/>
      <c r="I48" s="78"/>
      <c r="J48" s="78"/>
      <c r="K48" s="78"/>
      <c r="L48" s="78"/>
      <c r="M48" s="78"/>
      <c r="N48" s="78"/>
      <c r="O48" s="78"/>
      <c r="P48" s="78"/>
      <c r="Q48" s="78"/>
      <c r="R48" s="78"/>
      <c r="S48" s="78"/>
      <c r="T48" s="78"/>
      <c r="U48" s="78"/>
      <c r="V48" s="78"/>
      <c r="W48" s="78"/>
      <c r="X48" s="78"/>
      <c r="Y48" s="78"/>
      <c r="Z48" s="78"/>
      <c r="AA48" s="78"/>
      <c r="AB48" s="78"/>
      <c r="AC48" s="78"/>
      <c r="AD48" s="78"/>
      <c r="AE48" s="78"/>
      <c r="AF48" s="78"/>
      <c r="AG48" s="78"/>
    </row>
    <row r="49" spans="2:33" x14ac:dyDescent="0.25">
      <c r="B49" s="78"/>
      <c r="C49" s="78"/>
      <c r="D49" s="78"/>
      <c r="E49" s="78"/>
      <c r="F49" s="78"/>
      <c r="G49" s="78"/>
      <c r="H49" s="78"/>
      <c r="I49" s="78"/>
      <c r="J49" s="78"/>
      <c r="K49" s="78"/>
      <c r="L49" s="78"/>
      <c r="M49" s="78"/>
      <c r="N49" s="78"/>
      <c r="O49" s="78"/>
      <c r="P49" s="78"/>
      <c r="Q49" s="78"/>
      <c r="R49" s="78"/>
      <c r="S49" s="78"/>
      <c r="T49" s="78"/>
      <c r="U49" s="78"/>
      <c r="V49" s="78"/>
      <c r="W49" s="78"/>
      <c r="X49" s="78"/>
      <c r="Y49" s="78"/>
      <c r="Z49" s="78"/>
      <c r="AA49" s="78"/>
      <c r="AB49" s="78"/>
      <c r="AC49" s="78"/>
      <c r="AD49" s="78"/>
      <c r="AE49" s="78"/>
      <c r="AF49" s="78"/>
      <c r="AG49" s="78"/>
    </row>
    <row r="50" spans="2:33" x14ac:dyDescent="0.25">
      <c r="B50" s="78"/>
      <c r="C50" s="78"/>
      <c r="D50" s="78"/>
      <c r="E50" s="78"/>
      <c r="F50" s="78"/>
      <c r="G50" s="78"/>
      <c r="H50" s="78"/>
      <c r="I50" s="78"/>
      <c r="J50" s="78"/>
      <c r="K50" s="78"/>
      <c r="L50" s="78"/>
      <c r="M50" s="78"/>
      <c r="N50" s="78"/>
      <c r="O50" s="78"/>
      <c r="P50" s="78"/>
      <c r="Q50" s="78"/>
      <c r="R50" s="78"/>
      <c r="S50" s="78"/>
      <c r="T50" s="78"/>
      <c r="U50" s="78"/>
      <c r="V50" s="78"/>
      <c r="W50" s="78"/>
      <c r="X50" s="78"/>
      <c r="Y50" s="78"/>
      <c r="Z50" s="78"/>
      <c r="AA50" s="78"/>
      <c r="AB50" s="78"/>
      <c r="AC50" s="78"/>
      <c r="AD50" s="78"/>
      <c r="AE50" s="78"/>
      <c r="AF50" s="78"/>
      <c r="AG50" s="78"/>
    </row>
    <row r="51" spans="2:33" x14ac:dyDescent="0.25">
      <c r="B51" s="78"/>
      <c r="C51" s="78"/>
      <c r="D51" s="78"/>
      <c r="E51" s="78"/>
      <c r="F51" s="78"/>
      <c r="G51" s="78"/>
      <c r="H51" s="78"/>
      <c r="I51" s="78"/>
      <c r="J51" s="78"/>
      <c r="K51" s="78"/>
      <c r="L51" s="78"/>
      <c r="M51" s="78"/>
      <c r="N51" s="78"/>
      <c r="O51" s="78"/>
      <c r="P51" s="78"/>
      <c r="Q51" s="78"/>
      <c r="R51" s="78"/>
      <c r="S51" s="78"/>
      <c r="T51" s="78"/>
      <c r="U51" s="78"/>
      <c r="V51" s="78"/>
      <c r="W51" s="78"/>
      <c r="X51" s="78"/>
      <c r="Y51" s="78"/>
      <c r="Z51" s="78"/>
      <c r="AA51" s="78"/>
      <c r="AB51" s="78"/>
      <c r="AC51" s="78"/>
      <c r="AD51" s="78"/>
      <c r="AE51" s="78"/>
      <c r="AF51" s="78"/>
      <c r="AG51" s="78"/>
    </row>
    <row r="52" spans="2:33" x14ac:dyDescent="0.25">
      <c r="B52" s="78"/>
      <c r="C52" s="78"/>
      <c r="D52" s="78"/>
      <c r="E52" s="78"/>
      <c r="F52" s="78"/>
      <c r="G52" s="78"/>
      <c r="H52" s="78"/>
      <c r="I52" s="78"/>
      <c r="J52" s="78"/>
      <c r="K52" s="78"/>
      <c r="L52" s="78"/>
      <c r="M52" s="78"/>
      <c r="N52" s="78"/>
      <c r="O52" s="78"/>
      <c r="P52" s="78"/>
      <c r="Q52" s="78"/>
      <c r="R52" s="78"/>
      <c r="S52" s="78"/>
      <c r="T52" s="78"/>
      <c r="U52" s="78"/>
      <c r="V52" s="78"/>
      <c r="W52" s="78"/>
      <c r="X52" s="78"/>
      <c r="Y52" s="78"/>
      <c r="Z52" s="78"/>
      <c r="AA52" s="78"/>
      <c r="AB52" s="78"/>
      <c r="AC52" s="78"/>
      <c r="AD52" s="78"/>
      <c r="AE52" s="78"/>
      <c r="AF52" s="78"/>
      <c r="AG52" s="78"/>
    </row>
    <row r="53" spans="2:33" x14ac:dyDescent="0.25">
      <c r="B53" s="78"/>
      <c r="C53" s="78"/>
      <c r="D53" s="78"/>
      <c r="E53" s="78"/>
      <c r="F53" s="78"/>
      <c r="G53" s="78"/>
      <c r="H53" s="78"/>
      <c r="I53" s="78"/>
      <c r="J53" s="78"/>
      <c r="K53" s="78"/>
      <c r="L53" s="78"/>
      <c r="M53" s="78"/>
      <c r="N53" s="78"/>
      <c r="O53" s="78"/>
      <c r="P53" s="78"/>
      <c r="Q53" s="78"/>
      <c r="R53" s="78"/>
      <c r="S53" s="78"/>
      <c r="T53" s="78"/>
      <c r="U53" s="78"/>
      <c r="V53" s="78"/>
      <c r="W53" s="78"/>
      <c r="X53" s="78"/>
      <c r="Y53" s="78"/>
      <c r="Z53" s="78"/>
      <c r="AA53" s="78"/>
      <c r="AB53" s="78"/>
      <c r="AC53" s="78"/>
      <c r="AD53" s="78"/>
      <c r="AE53" s="78"/>
      <c r="AF53" s="78"/>
      <c r="AG53" s="78"/>
    </row>
    <row r="54" spans="2:33" x14ac:dyDescent="0.25">
      <c r="B54" s="78"/>
      <c r="C54" s="78"/>
      <c r="D54" s="78"/>
      <c r="E54" s="78"/>
      <c r="F54" s="78"/>
      <c r="G54" s="78"/>
      <c r="H54" s="78"/>
      <c r="I54" s="78"/>
      <c r="J54" s="78"/>
      <c r="K54" s="78"/>
      <c r="L54" s="78"/>
      <c r="M54" s="78"/>
      <c r="N54" s="78"/>
      <c r="O54" s="78"/>
      <c r="P54" s="78"/>
      <c r="Q54" s="78"/>
      <c r="R54" s="78"/>
      <c r="S54" s="78"/>
      <c r="T54" s="78"/>
      <c r="U54" s="78"/>
      <c r="V54" s="78"/>
      <c r="W54" s="78"/>
      <c r="X54" s="78"/>
      <c r="Y54" s="78"/>
      <c r="Z54" s="78"/>
      <c r="AA54" s="78"/>
      <c r="AB54" s="78"/>
      <c r="AC54" s="78"/>
      <c r="AD54" s="78"/>
      <c r="AE54" s="78"/>
      <c r="AF54" s="78"/>
      <c r="AG54" s="78"/>
    </row>
    <row r="55" spans="2:33" x14ac:dyDescent="0.25">
      <c r="B55" s="78"/>
      <c r="C55" s="78"/>
      <c r="D55" s="78"/>
      <c r="E55" s="78"/>
      <c r="F55" s="78"/>
      <c r="G55" s="78"/>
      <c r="H55" s="78"/>
      <c r="I55" s="78"/>
      <c r="J55" s="78"/>
      <c r="K55" s="78"/>
      <c r="L55" s="78"/>
      <c r="M55" s="78"/>
      <c r="N55" s="78"/>
      <c r="O55" s="78"/>
      <c r="P55" s="78"/>
      <c r="Q55" s="78"/>
      <c r="R55" s="78"/>
      <c r="S55" s="78"/>
      <c r="T55" s="78"/>
      <c r="U55" s="78"/>
      <c r="V55" s="78"/>
      <c r="W55" s="78"/>
      <c r="X55" s="78"/>
      <c r="Y55" s="78"/>
      <c r="Z55" s="78"/>
      <c r="AA55" s="78"/>
      <c r="AB55" s="78"/>
      <c r="AC55" s="78"/>
      <c r="AD55" s="78"/>
      <c r="AE55" s="78"/>
      <c r="AF55" s="78"/>
      <c r="AG55" s="78"/>
    </row>
    <row r="56" spans="2:33" x14ac:dyDescent="0.25">
      <c r="B56" s="78"/>
      <c r="C56" s="78"/>
      <c r="D56" s="78"/>
      <c r="E56" s="78"/>
      <c r="F56" s="78"/>
      <c r="G56" s="78"/>
      <c r="H56" s="78"/>
      <c r="I56" s="78"/>
      <c r="J56" s="78"/>
      <c r="K56" s="78"/>
      <c r="L56" s="78"/>
      <c r="M56" s="78"/>
      <c r="N56" s="78"/>
      <c r="O56" s="78"/>
      <c r="P56" s="78"/>
      <c r="Q56" s="78"/>
      <c r="R56" s="78"/>
      <c r="S56" s="78"/>
      <c r="T56" s="78"/>
      <c r="U56" s="78"/>
      <c r="V56" s="78"/>
      <c r="W56" s="78"/>
      <c r="X56" s="78"/>
      <c r="Y56" s="78"/>
      <c r="Z56" s="78"/>
      <c r="AA56" s="78"/>
      <c r="AB56" s="78"/>
      <c r="AC56" s="78"/>
      <c r="AD56" s="78"/>
      <c r="AE56" s="78"/>
      <c r="AF56" s="78"/>
      <c r="AG56" s="78"/>
    </row>
    <row r="57" spans="2:33" x14ac:dyDescent="0.25">
      <c r="B57" s="78"/>
      <c r="C57" s="78"/>
      <c r="D57" s="78"/>
      <c r="E57" s="78"/>
      <c r="F57" s="78"/>
      <c r="G57" s="78"/>
      <c r="H57" s="78"/>
      <c r="I57" s="78"/>
      <c r="J57" s="78"/>
      <c r="K57" s="78"/>
      <c r="L57" s="78"/>
      <c r="M57" s="78"/>
      <c r="N57" s="78"/>
      <c r="O57" s="78"/>
      <c r="P57" s="78"/>
      <c r="Q57" s="78"/>
      <c r="R57" s="78"/>
      <c r="S57" s="78"/>
      <c r="T57" s="78"/>
      <c r="U57" s="78"/>
      <c r="V57" s="78"/>
      <c r="W57" s="78"/>
      <c r="X57" s="78"/>
      <c r="Y57" s="78"/>
      <c r="Z57" s="78"/>
      <c r="AA57" s="78"/>
      <c r="AB57" s="78"/>
      <c r="AC57" s="78"/>
      <c r="AD57" s="78"/>
      <c r="AE57" s="78"/>
      <c r="AF57" s="78"/>
      <c r="AG57" s="78"/>
    </row>
    <row r="58" spans="2:33" x14ac:dyDescent="0.25">
      <c r="B58" s="78"/>
      <c r="C58" s="78"/>
      <c r="D58" s="78"/>
      <c r="E58" s="78"/>
      <c r="F58" s="78"/>
      <c r="G58" s="78"/>
      <c r="H58" s="78"/>
      <c r="I58" s="78"/>
      <c r="J58" s="78"/>
      <c r="K58" s="78"/>
      <c r="L58" s="78"/>
      <c r="M58" s="78"/>
      <c r="N58" s="78"/>
      <c r="O58" s="78"/>
      <c r="P58" s="78"/>
      <c r="Q58" s="78"/>
      <c r="R58" s="78"/>
      <c r="S58" s="78"/>
      <c r="T58" s="78"/>
      <c r="U58" s="78"/>
      <c r="V58" s="78"/>
      <c r="W58" s="78"/>
      <c r="X58" s="78"/>
      <c r="Y58" s="78"/>
      <c r="Z58" s="78"/>
      <c r="AA58" s="78"/>
      <c r="AB58" s="78"/>
      <c r="AC58" s="78"/>
      <c r="AD58" s="78"/>
      <c r="AE58" s="78"/>
      <c r="AF58" s="78"/>
      <c r="AG58" s="78"/>
    </row>
    <row r="59" spans="2:33" x14ac:dyDescent="0.25">
      <c r="B59" s="78"/>
      <c r="C59" s="78"/>
      <c r="D59" s="78"/>
      <c r="E59" s="78"/>
      <c r="F59" s="78"/>
      <c r="G59" s="78"/>
      <c r="H59" s="78"/>
      <c r="I59" s="78"/>
      <c r="J59" s="78"/>
      <c r="K59" s="78"/>
      <c r="L59" s="78"/>
      <c r="M59" s="78"/>
      <c r="N59" s="78"/>
      <c r="O59" s="78"/>
      <c r="P59" s="78"/>
      <c r="Q59" s="78"/>
      <c r="R59" s="78"/>
      <c r="S59" s="78"/>
      <c r="T59" s="78"/>
      <c r="U59" s="78"/>
      <c r="V59" s="78"/>
      <c r="W59" s="78"/>
      <c r="X59" s="78"/>
      <c r="Y59" s="78"/>
      <c r="Z59" s="78"/>
      <c r="AA59" s="78"/>
      <c r="AB59" s="78"/>
      <c r="AC59" s="78"/>
      <c r="AD59" s="78"/>
      <c r="AE59" s="78"/>
      <c r="AF59" s="78"/>
      <c r="AG59" s="78"/>
    </row>
    <row r="60" spans="2:33" x14ac:dyDescent="0.25">
      <c r="B60" s="78"/>
      <c r="C60" s="78"/>
      <c r="D60" s="78"/>
      <c r="E60" s="78"/>
      <c r="F60" s="78"/>
      <c r="G60" s="78"/>
      <c r="H60" s="78"/>
      <c r="I60" s="78"/>
      <c r="J60" s="78"/>
      <c r="K60" s="78"/>
      <c r="L60" s="78"/>
      <c r="M60" s="78"/>
      <c r="N60" s="78"/>
      <c r="O60" s="78"/>
      <c r="P60" s="78"/>
      <c r="Q60" s="78"/>
      <c r="R60" s="78"/>
      <c r="S60" s="78"/>
      <c r="T60" s="78"/>
      <c r="U60" s="78"/>
      <c r="V60" s="78"/>
      <c r="W60" s="78"/>
      <c r="X60" s="78"/>
      <c r="Y60" s="78"/>
      <c r="Z60" s="78"/>
      <c r="AA60" s="78"/>
      <c r="AB60" s="78"/>
      <c r="AC60" s="78"/>
      <c r="AD60" s="78"/>
      <c r="AE60" s="78"/>
      <c r="AF60" s="78"/>
      <c r="AG60" s="78"/>
    </row>
    <row r="61" spans="2:33" x14ac:dyDescent="0.25">
      <c r="B61" s="78"/>
      <c r="C61" s="78"/>
      <c r="D61" s="78"/>
      <c r="E61" s="78"/>
      <c r="F61" s="78"/>
      <c r="G61" s="78"/>
      <c r="H61" s="78"/>
      <c r="I61" s="78"/>
      <c r="J61" s="78"/>
      <c r="K61" s="78"/>
      <c r="L61" s="78"/>
      <c r="M61" s="78"/>
      <c r="N61" s="78"/>
      <c r="O61" s="78"/>
      <c r="P61" s="78"/>
      <c r="Q61" s="78"/>
      <c r="R61" s="78"/>
      <c r="S61" s="78"/>
      <c r="T61" s="78"/>
      <c r="U61" s="78"/>
      <c r="V61" s="78"/>
      <c r="W61" s="78"/>
      <c r="X61" s="78"/>
      <c r="Y61" s="78"/>
      <c r="Z61" s="78"/>
      <c r="AA61" s="78"/>
      <c r="AB61" s="78"/>
      <c r="AC61" s="78"/>
      <c r="AD61" s="78"/>
      <c r="AE61" s="78"/>
      <c r="AF61" s="78"/>
      <c r="AG61" s="78"/>
    </row>
    <row r="62" spans="2:33" ht="7.5" customHeight="1" x14ac:dyDescent="0.25">
      <c r="B62" s="30"/>
    </row>
    <row r="63" spans="2:33" x14ac:dyDescent="0.25">
      <c r="B63" s="29" t="s">
        <v>131</v>
      </c>
    </row>
    <row r="64" spans="2:33" x14ac:dyDescent="0.25">
      <c r="B64" s="78" t="s">
        <v>174</v>
      </c>
      <c r="C64" s="78"/>
      <c r="D64" s="78"/>
      <c r="E64" s="78"/>
      <c r="F64" s="78"/>
      <c r="G64" s="78"/>
      <c r="H64" s="78"/>
      <c r="I64" s="78"/>
      <c r="J64" s="78"/>
      <c r="K64" s="78"/>
      <c r="L64" s="78"/>
      <c r="M64" s="78"/>
      <c r="N64" s="78"/>
      <c r="O64" s="78"/>
      <c r="P64" s="78"/>
      <c r="Q64" s="78"/>
      <c r="R64" s="78"/>
      <c r="S64" s="78"/>
      <c r="T64" s="78"/>
      <c r="U64" s="78"/>
      <c r="V64" s="78"/>
      <c r="W64" s="78"/>
      <c r="X64" s="78"/>
      <c r="Y64" s="78"/>
      <c r="Z64" s="78"/>
      <c r="AA64" s="78"/>
      <c r="AB64" s="78"/>
      <c r="AC64" s="78"/>
      <c r="AD64" s="78"/>
      <c r="AE64" s="78"/>
      <c r="AF64" s="78"/>
      <c r="AG64" s="78"/>
    </row>
    <row r="65" spans="2:33" x14ac:dyDescent="0.25">
      <c r="B65" s="78"/>
      <c r="C65" s="78"/>
      <c r="D65" s="78"/>
      <c r="E65" s="78"/>
      <c r="F65" s="78"/>
      <c r="G65" s="78"/>
      <c r="H65" s="78"/>
      <c r="I65" s="78"/>
      <c r="J65" s="78"/>
      <c r="K65" s="78"/>
      <c r="L65" s="78"/>
      <c r="M65" s="78"/>
      <c r="N65" s="78"/>
      <c r="O65" s="78"/>
      <c r="P65" s="78"/>
      <c r="Q65" s="78"/>
      <c r="R65" s="78"/>
      <c r="S65" s="78"/>
      <c r="T65" s="78"/>
      <c r="U65" s="78"/>
      <c r="V65" s="78"/>
      <c r="W65" s="78"/>
      <c r="X65" s="78"/>
      <c r="Y65" s="78"/>
      <c r="Z65" s="78"/>
      <c r="AA65" s="78"/>
      <c r="AB65" s="78"/>
      <c r="AC65" s="78"/>
      <c r="AD65" s="78"/>
      <c r="AE65" s="78"/>
      <c r="AF65" s="78"/>
      <c r="AG65" s="78"/>
    </row>
    <row r="66" spans="2:33" x14ac:dyDescent="0.25">
      <c r="B66" s="78"/>
      <c r="C66" s="78"/>
      <c r="D66" s="78"/>
      <c r="E66" s="78"/>
      <c r="F66" s="78"/>
      <c r="G66" s="78"/>
      <c r="H66" s="78"/>
      <c r="I66" s="78"/>
      <c r="J66" s="78"/>
      <c r="K66" s="78"/>
      <c r="L66" s="78"/>
      <c r="M66" s="78"/>
      <c r="N66" s="78"/>
      <c r="O66" s="78"/>
      <c r="P66" s="78"/>
      <c r="Q66" s="78"/>
      <c r="R66" s="78"/>
      <c r="S66" s="78"/>
      <c r="T66" s="78"/>
      <c r="U66" s="78"/>
      <c r="V66" s="78"/>
      <c r="W66" s="78"/>
      <c r="X66" s="78"/>
      <c r="Y66" s="78"/>
      <c r="Z66" s="78"/>
      <c r="AA66" s="78"/>
      <c r="AB66" s="78"/>
      <c r="AC66" s="78"/>
      <c r="AD66" s="78"/>
      <c r="AE66" s="78"/>
      <c r="AF66" s="78"/>
      <c r="AG66" s="78"/>
    </row>
    <row r="67" spans="2:33" ht="7.5" customHeight="1" x14ac:dyDescent="0.25">
      <c r="B67" s="30"/>
    </row>
    <row r="68" spans="2:33" x14ac:dyDescent="0.25">
      <c r="B68" s="29" t="s">
        <v>136</v>
      </c>
    </row>
    <row r="69" spans="2:33" x14ac:dyDescent="0.25">
      <c r="B69" s="78" t="s">
        <v>176</v>
      </c>
      <c r="C69" s="78"/>
      <c r="D69" s="78"/>
      <c r="E69" s="78"/>
      <c r="F69" s="78"/>
      <c r="G69" s="78"/>
      <c r="H69" s="78"/>
      <c r="I69" s="78"/>
      <c r="J69" s="78"/>
      <c r="K69" s="78"/>
      <c r="L69" s="78"/>
      <c r="M69" s="78"/>
      <c r="N69" s="78"/>
      <c r="O69" s="78"/>
      <c r="P69" s="78"/>
      <c r="Q69" s="78"/>
      <c r="R69" s="78"/>
      <c r="S69" s="78"/>
      <c r="T69" s="78"/>
      <c r="U69" s="78"/>
      <c r="V69" s="78"/>
      <c r="W69" s="78"/>
      <c r="X69" s="78"/>
      <c r="Y69" s="78"/>
      <c r="Z69" s="78"/>
      <c r="AA69" s="78"/>
      <c r="AB69" s="78"/>
      <c r="AC69" s="78"/>
      <c r="AD69" s="78"/>
      <c r="AE69" s="78"/>
      <c r="AF69" s="78"/>
      <c r="AG69" s="78"/>
    </row>
    <row r="70" spans="2:33" x14ac:dyDescent="0.25">
      <c r="B70" s="36"/>
      <c r="C70" s="36"/>
      <c r="D70" s="36"/>
      <c r="E70" s="36"/>
      <c r="F70" s="36"/>
      <c r="G70" s="36"/>
      <c r="H70" s="36"/>
      <c r="I70" s="36"/>
      <c r="J70" s="36"/>
      <c r="K70" s="36"/>
      <c r="L70" s="36"/>
      <c r="M70" s="36"/>
      <c r="N70" s="36"/>
      <c r="O70" s="36"/>
      <c r="P70" s="36"/>
      <c r="Q70" s="36"/>
      <c r="R70" s="36"/>
      <c r="S70" s="36"/>
      <c r="T70" s="36"/>
      <c r="U70" s="36"/>
      <c r="V70" s="36"/>
      <c r="W70" s="36"/>
      <c r="X70" s="36"/>
      <c r="Y70" s="36"/>
      <c r="Z70" s="36"/>
      <c r="AA70" s="36"/>
      <c r="AB70" s="36"/>
      <c r="AC70" s="36"/>
      <c r="AD70" s="36"/>
      <c r="AE70" s="36"/>
      <c r="AF70" s="36"/>
      <c r="AG70" s="36"/>
    </row>
    <row r="71" spans="2:33" x14ac:dyDescent="0.25">
      <c r="B71" s="36"/>
      <c r="C71" s="36"/>
      <c r="D71" s="36"/>
      <c r="E71" s="36"/>
      <c r="F71" s="36"/>
      <c r="G71" s="36"/>
      <c r="H71" s="36"/>
      <c r="I71" s="36"/>
      <c r="J71" s="36"/>
      <c r="K71" s="36"/>
      <c r="L71" s="36"/>
      <c r="M71" s="36"/>
      <c r="N71" s="36"/>
      <c r="O71" s="36"/>
      <c r="P71" s="36"/>
      <c r="Q71" s="36"/>
      <c r="R71" s="36"/>
      <c r="S71" s="36"/>
      <c r="T71" s="36"/>
      <c r="U71" s="36"/>
      <c r="V71" s="36"/>
      <c r="W71" s="36"/>
      <c r="X71" s="36"/>
      <c r="Y71" s="36"/>
      <c r="Z71" s="36"/>
      <c r="AA71" s="36"/>
      <c r="AB71" s="36"/>
      <c r="AC71" s="36"/>
      <c r="AD71" s="36"/>
      <c r="AE71" s="36"/>
      <c r="AF71" s="36"/>
      <c r="AG71" s="36"/>
    </row>
    <row r="72" spans="2:33" x14ac:dyDescent="0.25">
      <c r="B72" s="36"/>
      <c r="C72" s="36"/>
      <c r="D72" s="36"/>
      <c r="E72" s="36"/>
      <c r="F72" s="36"/>
      <c r="G72" s="36"/>
      <c r="H72" s="36"/>
      <c r="I72" s="36"/>
      <c r="J72" s="36"/>
      <c r="K72" s="36"/>
      <c r="L72" s="36"/>
      <c r="M72" s="36"/>
      <c r="N72" s="36"/>
      <c r="O72" s="36"/>
      <c r="P72" s="36"/>
      <c r="Q72" s="36"/>
      <c r="R72" s="36"/>
      <c r="S72" s="36"/>
      <c r="T72" s="36"/>
      <c r="U72" s="36"/>
      <c r="V72" s="36"/>
      <c r="W72" s="36"/>
      <c r="X72" s="36"/>
      <c r="Y72" s="36"/>
      <c r="Z72" s="36"/>
      <c r="AA72" s="36"/>
      <c r="AB72" s="36"/>
      <c r="AC72" s="36"/>
      <c r="AD72" s="36"/>
      <c r="AE72" s="36"/>
      <c r="AF72" s="36"/>
      <c r="AG72" s="36"/>
    </row>
    <row r="73" spans="2:33" x14ac:dyDescent="0.25">
      <c r="B73" s="16" t="s">
        <v>177</v>
      </c>
    </row>
    <row r="74" spans="2:33" x14ac:dyDescent="0.25">
      <c r="B74" s="30"/>
      <c r="C74" s="16" t="s">
        <v>178</v>
      </c>
      <c r="D74" s="80" t="s">
        <v>179</v>
      </c>
      <c r="E74" s="80"/>
      <c r="F74" s="80"/>
      <c r="G74" s="80"/>
      <c r="H74" s="80"/>
      <c r="I74" s="80"/>
      <c r="J74" s="80"/>
      <c r="K74" s="80"/>
      <c r="L74" s="80"/>
      <c r="M74" s="80"/>
      <c r="N74" s="80"/>
      <c r="O74" s="80"/>
      <c r="P74" s="80"/>
      <c r="Q74" s="80"/>
      <c r="R74" s="80"/>
      <c r="S74" s="80"/>
      <c r="T74" s="80"/>
      <c r="U74" s="80"/>
      <c r="V74" s="80"/>
      <c r="W74" s="80"/>
      <c r="X74" s="80"/>
      <c r="Y74" s="80"/>
      <c r="Z74" s="80"/>
    </row>
    <row r="75" spans="2:33" x14ac:dyDescent="0.25">
      <c r="B75" s="30"/>
      <c r="C75" s="16" t="s">
        <v>178</v>
      </c>
      <c r="D75" s="80" t="s">
        <v>180</v>
      </c>
      <c r="E75" s="80"/>
      <c r="F75" s="80"/>
      <c r="G75" s="80"/>
      <c r="H75" s="80"/>
      <c r="I75" s="80"/>
      <c r="J75" s="80"/>
      <c r="K75" s="80"/>
      <c r="L75" s="80"/>
      <c r="M75" s="80"/>
      <c r="N75" s="80"/>
      <c r="O75" s="80"/>
      <c r="P75" s="80"/>
      <c r="Q75" s="80"/>
      <c r="R75" s="80"/>
      <c r="S75" s="80"/>
      <c r="T75" s="80"/>
      <c r="U75" s="80"/>
      <c r="V75" s="80"/>
      <c r="W75" s="80"/>
      <c r="X75" s="80"/>
      <c r="Y75" s="80"/>
      <c r="Z75" s="80"/>
    </row>
    <row r="76" spans="2:33" x14ac:dyDescent="0.25">
      <c r="B76" s="30"/>
      <c r="C76" s="16" t="s">
        <v>178</v>
      </c>
      <c r="D76" s="80" t="s">
        <v>181</v>
      </c>
      <c r="E76" s="80"/>
      <c r="F76" s="80"/>
      <c r="G76" s="80"/>
      <c r="H76" s="80"/>
      <c r="I76" s="80"/>
      <c r="J76" s="80"/>
      <c r="K76" s="80"/>
      <c r="L76" s="80"/>
      <c r="M76" s="80"/>
      <c r="N76" s="80"/>
      <c r="O76" s="80"/>
      <c r="P76" s="80"/>
      <c r="Q76" s="80"/>
      <c r="R76" s="80"/>
      <c r="S76" s="80"/>
      <c r="T76" s="80"/>
      <c r="U76" s="80"/>
      <c r="V76" s="80"/>
      <c r="W76" s="80"/>
      <c r="X76" s="80"/>
      <c r="Y76" s="80"/>
      <c r="Z76" s="80"/>
    </row>
    <row r="77" spans="2:33" x14ac:dyDescent="0.25">
      <c r="B77" s="30"/>
      <c r="C77" s="16" t="s">
        <v>178</v>
      </c>
      <c r="D77" s="80" t="s">
        <v>182</v>
      </c>
      <c r="E77" s="80"/>
      <c r="F77" s="80"/>
      <c r="G77" s="80"/>
      <c r="H77" s="80"/>
      <c r="I77" s="80"/>
      <c r="J77" s="80"/>
      <c r="K77" s="80"/>
      <c r="L77" s="80"/>
      <c r="M77" s="80"/>
      <c r="N77" s="80"/>
      <c r="O77" s="80"/>
      <c r="P77" s="80"/>
      <c r="Q77" s="80"/>
      <c r="R77" s="80"/>
      <c r="S77" s="80"/>
      <c r="T77" s="80"/>
      <c r="U77" s="80"/>
      <c r="V77" s="80"/>
      <c r="W77" s="80"/>
      <c r="X77" s="80"/>
      <c r="Y77" s="80"/>
      <c r="Z77" s="80"/>
    </row>
    <row r="78" spans="2:33" x14ac:dyDescent="0.25">
      <c r="B78" s="30"/>
      <c r="C78" s="16" t="s">
        <v>178</v>
      </c>
      <c r="D78" s="80" t="s">
        <v>183</v>
      </c>
      <c r="E78" s="80"/>
      <c r="F78" s="80"/>
      <c r="G78" s="80"/>
      <c r="H78" s="80"/>
      <c r="I78" s="80"/>
      <c r="J78" s="80"/>
      <c r="K78" s="80"/>
      <c r="L78" s="80"/>
      <c r="M78" s="80"/>
      <c r="N78" s="80"/>
      <c r="O78" s="80"/>
      <c r="P78" s="80"/>
      <c r="Q78" s="80"/>
      <c r="R78" s="80"/>
      <c r="S78" s="80"/>
      <c r="T78" s="80"/>
      <c r="U78" s="80"/>
      <c r="V78" s="80"/>
      <c r="W78" s="80"/>
      <c r="X78" s="80"/>
      <c r="Y78" s="80"/>
      <c r="Z78" s="80"/>
    </row>
    <row r="79" spans="2:33" x14ac:dyDescent="0.25">
      <c r="B79" s="30"/>
      <c r="C79" s="16" t="s">
        <v>178</v>
      </c>
      <c r="D79" s="80" t="s">
        <v>184</v>
      </c>
      <c r="E79" s="80"/>
      <c r="F79" s="80"/>
      <c r="G79" s="80"/>
      <c r="H79" s="80"/>
      <c r="I79" s="80"/>
      <c r="J79" s="80"/>
      <c r="K79" s="80"/>
      <c r="L79" s="80"/>
      <c r="M79" s="80"/>
      <c r="N79" s="80"/>
      <c r="O79" s="80"/>
      <c r="P79" s="80"/>
      <c r="Q79" s="80"/>
      <c r="R79" s="80"/>
      <c r="S79" s="80"/>
      <c r="T79" s="80"/>
      <c r="U79" s="80"/>
      <c r="V79" s="80"/>
      <c r="W79" s="80"/>
      <c r="X79" s="80"/>
      <c r="Y79" s="80"/>
      <c r="Z79" s="80"/>
      <c r="AA79" s="80"/>
      <c r="AB79" s="80"/>
      <c r="AC79" s="80"/>
      <c r="AD79" s="80"/>
    </row>
    <row r="80" spans="2:33" x14ac:dyDescent="0.25">
      <c r="B80" s="30"/>
      <c r="C80" s="16" t="s">
        <v>178</v>
      </c>
      <c r="D80" s="80" t="s">
        <v>185</v>
      </c>
      <c r="E80" s="80"/>
      <c r="F80" s="80"/>
      <c r="G80" s="80"/>
      <c r="H80" s="80"/>
      <c r="I80" s="80"/>
      <c r="J80" s="80"/>
      <c r="K80" s="80"/>
      <c r="L80" s="80"/>
      <c r="M80" s="80"/>
      <c r="N80" s="80"/>
      <c r="O80" s="80"/>
      <c r="P80" s="80"/>
      <c r="Q80" s="80"/>
      <c r="R80" s="80"/>
      <c r="S80" s="80"/>
      <c r="T80" s="80"/>
      <c r="U80" s="80"/>
      <c r="V80" s="80"/>
      <c r="W80" s="80"/>
      <c r="X80" s="80"/>
      <c r="Y80" s="80"/>
      <c r="Z80" s="80"/>
    </row>
    <row r="81" spans="2:33" x14ac:dyDescent="0.25">
      <c r="B81" s="30"/>
    </row>
    <row r="82" spans="2:33" x14ac:dyDescent="0.25">
      <c r="B82" s="78" t="s">
        <v>239</v>
      </c>
      <c r="C82" s="78"/>
      <c r="D82" s="78"/>
      <c r="E82" s="78"/>
      <c r="F82" s="78"/>
      <c r="G82" s="78"/>
      <c r="H82" s="78"/>
      <c r="I82" s="78"/>
      <c r="J82" s="78"/>
      <c r="K82" s="78"/>
      <c r="L82" s="78"/>
      <c r="M82" s="78"/>
      <c r="N82" s="78"/>
      <c r="O82" s="78"/>
      <c r="P82" s="78"/>
      <c r="Q82" s="78"/>
      <c r="R82" s="78"/>
      <c r="S82" s="78"/>
      <c r="T82" s="78"/>
      <c r="U82" s="78"/>
      <c r="V82" s="78"/>
      <c r="W82" s="78"/>
      <c r="X82" s="78"/>
      <c r="Y82" s="78"/>
      <c r="Z82" s="78"/>
      <c r="AA82" s="78"/>
      <c r="AB82" s="78"/>
      <c r="AC82" s="78"/>
      <c r="AD82" s="78"/>
      <c r="AE82" s="78"/>
      <c r="AF82" s="78"/>
      <c r="AG82" s="78"/>
    </row>
    <row r="83" spans="2:33" x14ac:dyDescent="0.25">
      <c r="B83" s="78"/>
      <c r="C83" s="78"/>
      <c r="D83" s="78"/>
      <c r="E83" s="78"/>
      <c r="F83" s="78"/>
      <c r="G83" s="78"/>
      <c r="H83" s="78"/>
      <c r="I83" s="78"/>
      <c r="J83" s="78"/>
      <c r="K83" s="78"/>
      <c r="L83" s="78"/>
      <c r="M83" s="78"/>
      <c r="N83" s="78"/>
      <c r="O83" s="78"/>
      <c r="P83" s="78"/>
      <c r="Q83" s="78"/>
      <c r="R83" s="78"/>
      <c r="S83" s="78"/>
      <c r="T83" s="78"/>
      <c r="U83" s="78"/>
      <c r="V83" s="78"/>
      <c r="W83" s="78"/>
      <c r="X83" s="78"/>
      <c r="Y83" s="78"/>
      <c r="Z83" s="78"/>
      <c r="AA83" s="78"/>
      <c r="AB83" s="78"/>
      <c r="AC83" s="78"/>
      <c r="AD83" s="78"/>
      <c r="AE83" s="78"/>
      <c r="AF83" s="78"/>
      <c r="AG83" s="78"/>
    </row>
    <row r="84" spans="2:33" ht="7.5" customHeight="1" x14ac:dyDescent="0.25">
      <c r="B84" s="25"/>
      <c r="C84" s="25"/>
      <c r="D84" s="25"/>
      <c r="E84" s="25"/>
      <c r="F84" s="25"/>
      <c r="G84" s="25"/>
      <c r="H84" s="25"/>
      <c r="I84" s="25"/>
      <c r="J84" s="25"/>
      <c r="K84" s="25"/>
      <c r="L84" s="25"/>
      <c r="M84" s="25"/>
      <c r="N84" s="25"/>
      <c r="O84" s="25"/>
      <c r="P84" s="25"/>
      <c r="Q84" s="25"/>
      <c r="R84" s="25"/>
      <c r="S84" s="25"/>
      <c r="T84" s="25"/>
      <c r="U84" s="25"/>
      <c r="V84" s="25"/>
      <c r="W84" s="25"/>
      <c r="X84" s="25"/>
      <c r="Y84" s="25"/>
      <c r="Z84" s="25"/>
      <c r="AA84" s="25"/>
      <c r="AB84" s="25"/>
      <c r="AC84" s="25"/>
      <c r="AD84" s="25"/>
      <c r="AE84" s="25"/>
      <c r="AF84" s="25"/>
      <c r="AG84" s="25"/>
    </row>
    <row r="85" spans="2:33" x14ac:dyDescent="0.25">
      <c r="B85" s="78" t="s">
        <v>191</v>
      </c>
      <c r="C85" s="78"/>
      <c r="D85" s="78"/>
      <c r="E85" s="78"/>
      <c r="F85" s="78"/>
      <c r="G85" s="78"/>
      <c r="H85" s="78"/>
      <c r="I85" s="78"/>
      <c r="J85" s="78"/>
      <c r="K85" s="78"/>
      <c r="L85" s="78"/>
      <c r="M85" s="78"/>
      <c r="N85" s="78"/>
      <c r="O85" s="78"/>
      <c r="P85" s="78"/>
      <c r="Q85" s="78"/>
      <c r="R85" s="78"/>
      <c r="S85" s="78"/>
      <c r="T85" s="78"/>
      <c r="U85" s="78"/>
      <c r="V85" s="78"/>
      <c r="W85" s="78"/>
      <c r="X85" s="78"/>
      <c r="Y85" s="78"/>
      <c r="Z85" s="78"/>
      <c r="AA85" s="78"/>
      <c r="AB85" s="78"/>
      <c r="AC85" s="78"/>
      <c r="AD85" s="78"/>
      <c r="AE85" s="78"/>
      <c r="AF85" s="78"/>
      <c r="AG85" s="78"/>
    </row>
    <row r="86" spans="2:33" x14ac:dyDescent="0.25">
      <c r="B86" s="78"/>
      <c r="C86" s="78"/>
      <c r="D86" s="78"/>
      <c r="E86" s="78"/>
      <c r="F86" s="78"/>
      <c r="G86" s="78"/>
      <c r="H86" s="78"/>
      <c r="I86" s="78"/>
      <c r="J86" s="78"/>
      <c r="K86" s="78"/>
      <c r="L86" s="78"/>
      <c r="M86" s="78"/>
      <c r="N86" s="78"/>
      <c r="O86" s="78"/>
      <c r="P86" s="78"/>
      <c r="Q86" s="78"/>
      <c r="R86" s="78"/>
      <c r="S86" s="78"/>
      <c r="T86" s="78"/>
      <c r="U86" s="78"/>
      <c r="V86" s="78"/>
      <c r="W86" s="78"/>
      <c r="X86" s="78"/>
      <c r="Y86" s="78"/>
      <c r="Z86" s="78"/>
      <c r="AA86" s="78"/>
      <c r="AB86" s="78"/>
      <c r="AC86" s="78"/>
      <c r="AD86" s="78"/>
      <c r="AE86" s="78"/>
      <c r="AF86" s="78"/>
      <c r="AG86" s="78"/>
    </row>
    <row r="87" spans="2:33" x14ac:dyDescent="0.25">
      <c r="B87" s="78"/>
      <c r="C87" s="78"/>
      <c r="D87" s="78"/>
      <c r="E87" s="78"/>
      <c r="F87" s="78"/>
      <c r="G87" s="78"/>
      <c r="H87" s="78"/>
      <c r="I87" s="78"/>
      <c r="J87" s="78"/>
      <c r="K87" s="78"/>
      <c r="L87" s="78"/>
      <c r="M87" s="78"/>
      <c r="N87" s="78"/>
      <c r="O87" s="78"/>
      <c r="P87" s="78"/>
      <c r="Q87" s="78"/>
      <c r="R87" s="78"/>
      <c r="S87" s="78"/>
      <c r="T87" s="78"/>
      <c r="U87" s="78"/>
      <c r="V87" s="78"/>
      <c r="W87" s="78"/>
      <c r="X87" s="78"/>
      <c r="Y87" s="78"/>
      <c r="Z87" s="78"/>
      <c r="AA87" s="78"/>
      <c r="AB87" s="78"/>
      <c r="AC87" s="78"/>
      <c r="AD87" s="78"/>
      <c r="AE87" s="78"/>
      <c r="AF87" s="78"/>
      <c r="AG87" s="78"/>
    </row>
    <row r="88" spans="2:33" x14ac:dyDescent="0.25"/>
  </sheetData>
  <sheetProtection algorithmName="SHA-512" hashValue="VSRugvH27B7lQ2gOcwwvsQdGjRl/SCK7bezu3YLg1Wm328jokyE/fDDf7NdJJAWtB1JJDMMW7nftaXpBa/ZxIw==" saltValue="oBOj/te3dKoRkUvBagQyEQ==" spinCount="100000" sheet="1" objects="1" scenarios="1"/>
  <mergeCells count="15">
    <mergeCell ref="B85:AG87"/>
    <mergeCell ref="B1:AG1"/>
    <mergeCell ref="B4:AG8"/>
    <mergeCell ref="B10:AG34"/>
    <mergeCell ref="B37:AG61"/>
    <mergeCell ref="B64:AG66"/>
    <mergeCell ref="D79:AD79"/>
    <mergeCell ref="D80:Z80"/>
    <mergeCell ref="B82:AG83"/>
    <mergeCell ref="B69:AG69"/>
    <mergeCell ref="D74:Z74"/>
    <mergeCell ref="D75:Z75"/>
    <mergeCell ref="D76:Z76"/>
    <mergeCell ref="D77:Z77"/>
    <mergeCell ref="D78:Z7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H60"/>
  <sheetViews>
    <sheetView tabSelected="1" zoomScale="130" zoomScaleNormal="130" workbookViewId="0">
      <selection activeCell="H18" sqref="H18:L18"/>
    </sheetView>
  </sheetViews>
  <sheetFormatPr baseColWidth="10" defaultColWidth="0" defaultRowHeight="15" zeroHeight="1" x14ac:dyDescent="0.25"/>
  <cols>
    <col min="1" max="1" width="1.42578125" style="19" customWidth="1"/>
    <col min="2" max="33" width="2.7109375" style="19" customWidth="1"/>
    <col min="34" max="34" width="1.42578125" style="19" customWidth="1"/>
    <col min="35" max="16384" width="11.42578125" style="19" hidden="1"/>
  </cols>
  <sheetData>
    <row r="1" spans="2:33" ht="23.25" x14ac:dyDescent="0.35">
      <c r="B1" s="106" t="s">
        <v>254</v>
      </c>
      <c r="C1" s="106"/>
      <c r="D1" s="106"/>
      <c r="E1" s="106"/>
      <c r="F1" s="106"/>
      <c r="G1" s="106"/>
      <c r="H1" s="106"/>
      <c r="I1" s="106"/>
      <c r="J1" s="106"/>
      <c r="K1" s="106"/>
      <c r="L1" s="106"/>
      <c r="M1" s="106"/>
      <c r="N1" s="106"/>
      <c r="O1" s="106"/>
      <c r="P1" s="106"/>
      <c r="Q1" s="106"/>
      <c r="R1" s="106"/>
      <c r="S1" s="106"/>
      <c r="T1" s="106"/>
      <c r="U1" s="106"/>
      <c r="V1" s="106"/>
      <c r="W1" s="106"/>
      <c r="X1" s="106"/>
      <c r="Y1" s="106"/>
      <c r="Z1" s="106"/>
      <c r="AA1" s="106"/>
      <c r="AB1" s="106"/>
      <c r="AC1" s="106"/>
      <c r="AD1" s="106"/>
      <c r="AE1" s="106"/>
      <c r="AF1" s="106"/>
      <c r="AG1" s="106"/>
    </row>
    <row r="2" spans="2:33" x14ac:dyDescent="0.25">
      <c r="B2" s="107" t="s">
        <v>266</v>
      </c>
      <c r="C2" s="107"/>
      <c r="D2" s="107"/>
      <c r="E2" s="107"/>
      <c r="F2" s="107"/>
      <c r="G2" s="107"/>
      <c r="H2" s="107"/>
      <c r="I2" s="107"/>
      <c r="J2" s="107"/>
      <c r="K2" s="107"/>
      <c r="L2" s="107"/>
      <c r="M2" s="107"/>
      <c r="N2" s="107"/>
      <c r="O2" s="107"/>
      <c r="P2" s="107"/>
      <c r="Q2" s="107"/>
      <c r="R2" s="107"/>
      <c r="S2" s="107"/>
      <c r="T2" s="107"/>
      <c r="U2" s="107"/>
      <c r="V2" s="107"/>
      <c r="W2" s="107"/>
      <c r="X2" s="107"/>
      <c r="Y2" s="107"/>
      <c r="Z2" s="107"/>
      <c r="AA2" s="107"/>
      <c r="AB2" s="107"/>
      <c r="AC2" s="107"/>
      <c r="AD2" s="107"/>
      <c r="AE2" s="107"/>
      <c r="AF2" s="107"/>
      <c r="AG2" s="107"/>
    </row>
    <row r="3" spans="2:33" ht="7.5" customHeight="1" x14ac:dyDescent="0.25">
      <c r="B3" s="54"/>
      <c r="C3" s="54"/>
      <c r="D3" s="54"/>
      <c r="E3" s="54"/>
      <c r="F3" s="54"/>
      <c r="G3" s="54"/>
      <c r="H3" s="54"/>
      <c r="I3" s="54"/>
      <c r="J3" s="54"/>
      <c r="K3" s="54"/>
      <c r="L3" s="54"/>
      <c r="N3" s="54"/>
      <c r="O3" s="54"/>
      <c r="P3" s="54"/>
      <c r="Q3" s="54"/>
      <c r="R3" s="54"/>
      <c r="S3" s="54"/>
      <c r="T3" s="54"/>
      <c r="U3" s="54"/>
      <c r="V3" s="54"/>
      <c r="W3" s="54"/>
      <c r="X3" s="54"/>
      <c r="Y3" s="54"/>
      <c r="Z3" s="54"/>
      <c r="AA3" s="54"/>
      <c r="AB3" s="54"/>
      <c r="AC3" s="54"/>
      <c r="AD3" s="54"/>
      <c r="AE3" s="54"/>
      <c r="AF3" s="54"/>
      <c r="AG3" s="54"/>
    </row>
    <row r="4" spans="2:33" ht="15" customHeight="1" x14ac:dyDescent="0.25">
      <c r="C4" s="82" t="s">
        <v>147</v>
      </c>
      <c r="D4" s="82"/>
      <c r="E4" s="82"/>
      <c r="F4" s="82"/>
      <c r="G4" s="82"/>
      <c r="H4" s="90"/>
      <c r="I4" s="90"/>
      <c r="J4" s="19" t="s">
        <v>72</v>
      </c>
      <c r="L4" s="82" t="s">
        <v>148</v>
      </c>
      <c r="M4" s="82"/>
      <c r="N4" s="82"/>
      <c r="O4" s="82"/>
      <c r="P4" s="82"/>
      <c r="Q4" s="90"/>
      <c r="R4" s="90"/>
      <c r="S4" s="19" t="s">
        <v>72</v>
      </c>
      <c r="U4" s="86" t="s">
        <v>149</v>
      </c>
      <c r="V4" s="86"/>
      <c r="W4" s="86"/>
      <c r="X4" s="86"/>
      <c r="Y4" s="86"/>
      <c r="Z4" s="86"/>
      <c r="AA4" s="86"/>
      <c r="AB4" s="86"/>
      <c r="AC4" s="89" t="str">
        <f>Cálculos!Aw</f>
        <v/>
      </c>
      <c r="AD4" s="89"/>
      <c r="AE4" s="64" t="s">
        <v>150</v>
      </c>
      <c r="AG4" s="63"/>
    </row>
    <row r="5" spans="2:33" ht="7.5" customHeight="1" x14ac:dyDescent="0.25">
      <c r="C5" s="63"/>
      <c r="D5" s="63"/>
      <c r="E5" s="63"/>
      <c r="F5" s="63"/>
      <c r="G5" s="20"/>
      <c r="H5" s="20"/>
      <c r="I5" s="20"/>
      <c r="M5" s="20"/>
    </row>
    <row r="6" spans="2:33" x14ac:dyDescent="0.25">
      <c r="C6" s="20" t="s">
        <v>129</v>
      </c>
      <c r="D6" s="63"/>
      <c r="E6" s="63"/>
      <c r="F6" s="54"/>
      <c r="G6" s="20"/>
      <c r="H6" s="20"/>
      <c r="I6" s="20"/>
      <c r="M6" s="20"/>
    </row>
    <row r="7" spans="2:33" x14ac:dyDescent="0.25">
      <c r="C7" s="63"/>
      <c r="E7" s="20" t="s">
        <v>127</v>
      </c>
      <c r="M7" s="20"/>
      <c r="N7" s="20"/>
      <c r="O7" s="20" t="s">
        <v>128</v>
      </c>
      <c r="X7" s="20" t="s">
        <v>256</v>
      </c>
    </row>
    <row r="8" spans="2:33" x14ac:dyDescent="0.25">
      <c r="C8" s="63"/>
      <c r="D8" s="82" t="s">
        <v>125</v>
      </c>
      <c r="E8" s="82"/>
      <c r="F8" s="82"/>
      <c r="G8" s="82"/>
      <c r="H8" s="82"/>
      <c r="I8" s="82"/>
      <c r="J8" s="90"/>
      <c r="K8" s="90"/>
      <c r="L8" s="19" t="s">
        <v>126</v>
      </c>
      <c r="M8" s="20"/>
      <c r="N8" s="82" t="s">
        <v>257</v>
      </c>
      <c r="O8" s="82"/>
      <c r="P8" s="82"/>
      <c r="Q8" s="82"/>
      <c r="R8" s="82"/>
      <c r="S8" s="82"/>
      <c r="T8" s="90"/>
      <c r="U8" s="90"/>
      <c r="W8" s="82" t="s">
        <v>258</v>
      </c>
      <c r="X8" s="82"/>
      <c r="Y8" s="82"/>
      <c r="Z8" s="82"/>
      <c r="AA8" s="82"/>
      <c r="AB8" s="82"/>
      <c r="AC8" s="90"/>
      <c r="AD8" s="90"/>
      <c r="AE8" s="56" t="s">
        <v>72</v>
      </c>
    </row>
    <row r="9" spans="2:33" ht="7.5" customHeight="1" x14ac:dyDescent="0.25">
      <c r="C9" s="63"/>
      <c r="M9" s="20"/>
      <c r="N9" s="20"/>
      <c r="T9" s="72"/>
      <c r="U9" s="72"/>
      <c r="W9" s="20"/>
      <c r="AC9" s="72"/>
      <c r="AD9" s="72"/>
      <c r="AE9" s="56"/>
    </row>
    <row r="10" spans="2:33" x14ac:dyDescent="0.25">
      <c r="C10" s="63"/>
      <c r="G10" s="20" t="s">
        <v>139</v>
      </c>
      <c r="M10" s="81" t="str">
        <f>Cálculos!Af</f>
        <v/>
      </c>
      <c r="N10" s="81"/>
      <c r="O10" s="19" t="s">
        <v>126</v>
      </c>
      <c r="U10" s="20" t="s">
        <v>125</v>
      </c>
      <c r="AA10" s="81" t="str">
        <f>Cálculos!Ag</f>
        <v/>
      </c>
      <c r="AB10" s="81"/>
      <c r="AC10" s="19" t="s">
        <v>126</v>
      </c>
    </row>
    <row r="11" spans="2:33" ht="7.5" customHeight="1" x14ac:dyDescent="0.25">
      <c r="C11" s="63"/>
      <c r="M11" s="20"/>
    </row>
    <row r="12" spans="2:33" ht="15" customHeight="1" x14ac:dyDescent="0.25">
      <c r="Y12" s="83" t="s">
        <v>259</v>
      </c>
      <c r="Z12" s="83"/>
      <c r="AA12" s="83"/>
      <c r="AB12" s="83"/>
      <c r="AC12" s="65" t="s">
        <v>245</v>
      </c>
      <c r="AD12" s="65"/>
      <c r="AE12" s="65"/>
    </row>
    <row r="13" spans="2:33" x14ac:dyDescent="0.25">
      <c r="C13" s="20" t="s">
        <v>204</v>
      </c>
      <c r="D13" s="20"/>
      <c r="E13" s="20"/>
      <c r="F13" s="20"/>
      <c r="G13" s="20"/>
      <c r="H13" s="88"/>
      <c r="I13" s="88"/>
      <c r="J13" s="88"/>
      <c r="K13" s="88"/>
      <c r="L13" s="88"/>
      <c r="M13" s="88"/>
      <c r="N13" s="88"/>
      <c r="O13" s="88"/>
      <c r="Q13" s="84" t="s">
        <v>263</v>
      </c>
      <c r="R13" s="84"/>
      <c r="S13" s="84"/>
      <c r="T13" s="84"/>
      <c r="U13" s="84"/>
      <c r="V13" s="84"/>
      <c r="W13" s="84"/>
      <c r="X13" s="84"/>
      <c r="Z13" s="114" t="str">
        <f>Cálculos!Junta_apertura_calc</f>
        <v/>
      </c>
      <c r="AA13" s="114"/>
      <c r="AC13" s="90"/>
      <c r="AD13" s="90"/>
      <c r="AE13" s="19" t="s">
        <v>30</v>
      </c>
    </row>
    <row r="14" spans="2:33" x14ac:dyDescent="0.25">
      <c r="C14" s="20" t="s">
        <v>243</v>
      </c>
      <c r="D14" s="20"/>
      <c r="E14" s="20"/>
      <c r="F14" s="20"/>
      <c r="G14" s="20"/>
      <c r="H14" s="90"/>
      <c r="I14" s="90"/>
      <c r="J14" s="90"/>
      <c r="K14" s="90"/>
      <c r="L14" s="90"/>
      <c r="Q14" s="82" t="s">
        <v>262</v>
      </c>
      <c r="R14" s="82"/>
      <c r="S14" s="82"/>
      <c r="T14" s="82"/>
      <c r="U14" s="82"/>
      <c r="V14" s="82"/>
      <c r="W14" s="82"/>
      <c r="X14" s="82"/>
      <c r="Z14" s="87">
        <f>proporción_defecto</f>
        <v>0.5</v>
      </c>
      <c r="AA14" s="87"/>
      <c r="AC14" s="85"/>
      <c r="AD14" s="85"/>
    </row>
    <row r="15" spans="2:33" ht="7.5" customHeight="1" x14ac:dyDescent="0.25"/>
    <row r="16" spans="2:33" x14ac:dyDescent="0.25">
      <c r="B16" s="107" t="s">
        <v>140</v>
      </c>
      <c r="C16" s="107"/>
      <c r="D16" s="107"/>
      <c r="E16" s="107"/>
      <c r="F16" s="107"/>
      <c r="G16" s="107"/>
      <c r="H16" s="107"/>
      <c r="I16" s="107"/>
      <c r="J16" s="107"/>
      <c r="K16" s="107"/>
      <c r="L16" s="107"/>
      <c r="M16" s="107"/>
      <c r="N16" s="107"/>
      <c r="O16" s="107"/>
      <c r="P16" s="107"/>
      <c r="Q16" s="107"/>
      <c r="R16" s="107"/>
      <c r="S16" s="107"/>
      <c r="T16" s="107"/>
      <c r="U16" s="107"/>
      <c r="V16" s="107"/>
      <c r="W16" s="107"/>
      <c r="X16" s="107"/>
      <c r="Y16" s="107"/>
      <c r="Z16" s="107"/>
      <c r="AA16" s="107"/>
      <c r="AB16" s="107"/>
      <c r="AC16" s="107"/>
      <c r="AD16" s="107"/>
      <c r="AE16" s="107"/>
      <c r="AF16" s="107"/>
      <c r="AG16" s="107"/>
    </row>
    <row r="17" spans="2:33" ht="7.5" customHeight="1" x14ac:dyDescent="0.25">
      <c r="B17" s="54"/>
      <c r="C17" s="54"/>
      <c r="D17" s="54"/>
      <c r="E17" s="54"/>
      <c r="K17" s="54"/>
      <c r="L17" s="54"/>
      <c r="M17" s="54"/>
      <c r="N17" s="54"/>
      <c r="O17" s="54"/>
      <c r="P17" s="54"/>
      <c r="Q17" s="54"/>
      <c r="R17" s="54"/>
      <c r="S17" s="54"/>
      <c r="T17" s="54"/>
      <c r="U17" s="54"/>
      <c r="V17" s="54"/>
      <c r="W17" s="54"/>
      <c r="X17" s="54"/>
      <c r="Y17" s="54"/>
      <c r="Z17" s="54"/>
      <c r="AA17" s="54"/>
      <c r="AB17" s="54"/>
      <c r="AC17" s="54"/>
      <c r="AD17" s="54"/>
      <c r="AE17" s="54"/>
      <c r="AF17" s="54"/>
      <c r="AG17" s="54"/>
    </row>
    <row r="18" spans="2:33" x14ac:dyDescent="0.25">
      <c r="C18" s="20" t="s">
        <v>161</v>
      </c>
      <c r="H18" s="90"/>
      <c r="I18" s="90"/>
      <c r="J18" s="90"/>
      <c r="K18" s="90"/>
      <c r="L18" s="90"/>
      <c r="O18" s="20" t="s">
        <v>162</v>
      </c>
      <c r="U18" s="90"/>
      <c r="V18" s="90"/>
      <c r="W18" s="90"/>
      <c r="X18" s="90"/>
      <c r="Y18" s="90"/>
      <c r="AA18" s="93" t="s">
        <v>163</v>
      </c>
      <c r="AB18" s="93"/>
      <c r="AC18" s="92" t="s">
        <v>8</v>
      </c>
      <c r="AD18" s="92"/>
      <c r="AE18" s="92"/>
      <c r="AF18" s="92"/>
    </row>
    <row r="19" spans="2:33" x14ac:dyDescent="0.25">
      <c r="C19" s="21" t="str">
        <f>txt_campo_numérico</f>
        <v/>
      </c>
      <c r="J19" s="94"/>
      <c r="K19" s="94"/>
      <c r="L19" s="19" t="s">
        <v>72</v>
      </c>
      <c r="O19" s="112" t="s">
        <v>166</v>
      </c>
      <c r="P19" s="112"/>
      <c r="Q19" s="112"/>
      <c r="R19" s="112"/>
      <c r="S19" s="113"/>
      <c r="T19" s="109" t="s">
        <v>164</v>
      </c>
      <c r="U19" s="110"/>
      <c r="V19" s="110"/>
      <c r="W19" s="111"/>
      <c r="X19" s="109" t="s">
        <v>165</v>
      </c>
      <c r="Y19" s="110"/>
      <c r="Z19" s="110"/>
      <c r="AA19" s="110"/>
      <c r="AB19" s="110"/>
      <c r="AC19" s="110"/>
      <c r="AD19" s="110"/>
      <c r="AE19" s="110"/>
      <c r="AF19" s="111"/>
    </row>
    <row r="20" spans="2:33" x14ac:dyDescent="0.25">
      <c r="C20" s="127" t="s">
        <v>154</v>
      </c>
      <c r="D20" s="127"/>
      <c r="E20" s="127"/>
      <c r="F20" s="127"/>
      <c r="G20" s="127"/>
      <c r="H20" s="127"/>
      <c r="I20" s="127"/>
      <c r="J20" s="127"/>
      <c r="K20" s="127"/>
      <c r="L20" s="127"/>
      <c r="M20" s="66"/>
      <c r="O20" s="108" t="str">
        <f>txt_Vidrio</f>
        <v>Vidrio</v>
      </c>
      <c r="P20" s="108"/>
      <c r="Q20" s="108"/>
      <c r="R20" s="108"/>
      <c r="S20" s="108"/>
      <c r="T20" s="125"/>
      <c r="U20" s="126"/>
      <c r="V20" s="19" t="s">
        <v>72</v>
      </c>
      <c r="W20" s="67"/>
      <c r="X20" s="100"/>
      <c r="Y20" s="101"/>
      <c r="Z20" s="101"/>
      <c r="AA20" s="101"/>
      <c r="AB20" s="101"/>
      <c r="AC20" s="101"/>
      <c r="AD20" s="101"/>
      <c r="AE20" s="101"/>
      <c r="AF20" s="102"/>
    </row>
    <row r="21" spans="2:33" x14ac:dyDescent="0.25">
      <c r="C21" s="127"/>
      <c r="D21" s="127"/>
      <c r="E21" s="127"/>
      <c r="F21" s="127"/>
      <c r="G21" s="127"/>
      <c r="H21" s="127"/>
      <c r="I21" s="127"/>
      <c r="J21" s="127"/>
      <c r="K21" s="127"/>
      <c r="L21" s="127"/>
      <c r="N21" s="24"/>
      <c r="O21" s="108" t="str">
        <f>txt_espaciador</f>
        <v>Espaciador</v>
      </c>
      <c r="P21" s="108"/>
      <c r="Q21" s="108"/>
      <c r="R21" s="108"/>
      <c r="S21" s="108"/>
      <c r="T21" s="125"/>
      <c r="U21" s="126"/>
      <c r="V21" s="19" t="s">
        <v>72</v>
      </c>
      <c r="W21" s="67"/>
      <c r="X21" s="100"/>
      <c r="Y21" s="101"/>
      <c r="Z21" s="101"/>
      <c r="AA21" s="101"/>
      <c r="AB21" s="101"/>
      <c r="AC21" s="101"/>
      <c r="AD21" s="101"/>
      <c r="AE21" s="101"/>
      <c r="AF21" s="102"/>
    </row>
    <row r="22" spans="2:33" x14ac:dyDescent="0.25">
      <c r="C22" s="20" t="s">
        <v>155</v>
      </c>
      <c r="D22" s="22"/>
      <c r="E22" s="22"/>
      <c r="F22" s="22"/>
      <c r="J22" s="90"/>
      <c r="K22" s="90"/>
      <c r="O22" s="108" t="s">
        <v>7</v>
      </c>
      <c r="P22" s="108"/>
      <c r="Q22" s="108"/>
      <c r="R22" s="108"/>
      <c r="S22" s="108"/>
      <c r="T22" s="125"/>
      <c r="U22" s="126"/>
      <c r="V22" s="19" t="s">
        <v>72</v>
      </c>
      <c r="W22" s="67"/>
      <c r="X22" s="100"/>
      <c r="Y22" s="101"/>
      <c r="Z22" s="101"/>
      <c r="AA22" s="101"/>
      <c r="AB22" s="101"/>
      <c r="AC22" s="101"/>
      <c r="AD22" s="101"/>
      <c r="AE22" s="101"/>
      <c r="AF22" s="102"/>
    </row>
    <row r="23" spans="2:33" ht="15" customHeight="1" x14ac:dyDescent="0.25">
      <c r="C23" s="20" t="s">
        <v>156</v>
      </c>
      <c r="D23" s="22"/>
      <c r="E23" s="22"/>
      <c r="F23" s="22"/>
      <c r="J23" s="94"/>
      <c r="K23" s="94"/>
      <c r="O23" s="108" t="s">
        <v>123</v>
      </c>
      <c r="P23" s="108"/>
      <c r="Q23" s="108"/>
      <c r="R23" s="108"/>
      <c r="S23" s="108"/>
      <c r="T23" s="123"/>
      <c r="U23" s="124"/>
      <c r="V23" s="19" t="s">
        <v>72</v>
      </c>
      <c r="W23" s="23"/>
      <c r="X23" s="103"/>
      <c r="Y23" s="104"/>
      <c r="Z23" s="104"/>
      <c r="AA23" s="104"/>
      <c r="AB23" s="104"/>
      <c r="AC23" s="104"/>
      <c r="AD23" s="104"/>
      <c r="AE23" s="104"/>
      <c r="AF23" s="105"/>
    </row>
    <row r="24" spans="2:33" x14ac:dyDescent="0.25">
      <c r="O24" s="108" t="s">
        <v>114</v>
      </c>
      <c r="P24" s="108"/>
      <c r="Q24" s="108"/>
      <c r="R24" s="108"/>
      <c r="S24" s="108"/>
      <c r="T24" s="123"/>
      <c r="U24" s="124"/>
      <c r="V24" s="19" t="s">
        <v>72</v>
      </c>
      <c r="W24" s="23"/>
      <c r="X24" s="98"/>
      <c r="Y24" s="92"/>
      <c r="Z24" s="92"/>
      <c r="AA24" s="92"/>
      <c r="AB24" s="92"/>
      <c r="AC24" s="92"/>
      <c r="AD24" s="92"/>
      <c r="AE24" s="92"/>
      <c r="AF24" s="99"/>
    </row>
    <row r="25" spans="2:33" ht="15" customHeight="1" x14ac:dyDescent="0.25">
      <c r="V25" s="83" t="s">
        <v>259</v>
      </c>
      <c r="W25" s="83"/>
      <c r="X25" s="83"/>
      <c r="Y25" s="83"/>
      <c r="Z25" s="65" t="s">
        <v>245</v>
      </c>
      <c r="AA25" s="65"/>
      <c r="AB25" s="65"/>
    </row>
    <row r="26" spans="2:33" x14ac:dyDescent="0.25">
      <c r="C26" s="82" t="s">
        <v>244</v>
      </c>
      <c r="D26" s="82"/>
      <c r="E26" s="82"/>
      <c r="F26" s="82"/>
      <c r="G26" s="82"/>
      <c r="H26" s="82"/>
      <c r="I26" s="82"/>
      <c r="J26" s="82"/>
      <c r="K26" s="82"/>
      <c r="L26" s="82"/>
      <c r="M26" s="82"/>
      <c r="N26" s="82"/>
      <c r="O26" s="82"/>
      <c r="P26" s="82"/>
      <c r="Q26" s="82"/>
      <c r="R26" s="82"/>
      <c r="S26" s="82"/>
      <c r="T26" s="82"/>
      <c r="U26" s="82"/>
      <c r="W26" s="128" t="str">
        <f>Cálculos!Uf_calc</f>
        <v/>
      </c>
      <c r="X26" s="128"/>
      <c r="Z26" s="90"/>
      <c r="AA26" s="90"/>
      <c r="AB26" s="19" t="s">
        <v>251</v>
      </c>
    </row>
    <row r="27" spans="2:33" x14ac:dyDescent="0.25">
      <c r="C27" s="84" t="s">
        <v>260</v>
      </c>
      <c r="D27" s="84"/>
      <c r="E27" s="84"/>
      <c r="F27" s="84"/>
      <c r="G27" s="84"/>
      <c r="H27" s="84"/>
      <c r="I27" s="84"/>
      <c r="J27" s="84"/>
      <c r="K27" s="84"/>
      <c r="L27" s="84"/>
      <c r="M27" s="84"/>
      <c r="N27" s="84"/>
      <c r="O27" s="84"/>
      <c r="P27" s="84"/>
      <c r="Q27" s="84"/>
      <c r="R27" s="84"/>
      <c r="S27" s="84"/>
      <c r="T27" s="84"/>
      <c r="U27" s="84"/>
      <c r="W27" s="120" t="str">
        <f>Cálculos!Ψg_calc</f>
        <v/>
      </c>
      <c r="X27" s="120"/>
      <c r="Z27" s="129"/>
      <c r="AA27" s="129"/>
      <c r="AB27" s="19" t="s">
        <v>250</v>
      </c>
    </row>
    <row r="28" spans="2:33" x14ac:dyDescent="0.25">
      <c r="C28" s="86" t="s">
        <v>261</v>
      </c>
      <c r="D28" s="86"/>
      <c r="E28" s="86"/>
      <c r="F28" s="86"/>
      <c r="G28" s="86"/>
      <c r="H28" s="86"/>
      <c r="I28" s="86"/>
      <c r="J28" s="86"/>
      <c r="K28" s="86"/>
      <c r="L28" s="86"/>
      <c r="M28" s="86"/>
      <c r="N28" s="86"/>
      <c r="O28" s="86"/>
      <c r="P28" s="86"/>
      <c r="Q28" s="86"/>
      <c r="R28" s="86"/>
      <c r="S28" s="86"/>
      <c r="T28" s="86"/>
      <c r="U28" s="86"/>
      <c r="W28" s="120" t="str">
        <f>Cálculos!lg_calc</f>
        <v/>
      </c>
      <c r="X28" s="120"/>
      <c r="Z28" s="90"/>
      <c r="AA28" s="90"/>
      <c r="AB28" s="19" t="s">
        <v>30</v>
      </c>
    </row>
    <row r="29" spans="2:33" ht="7.5" customHeight="1" x14ac:dyDescent="0.25">
      <c r="AE29" s="24"/>
    </row>
    <row r="30" spans="2:33" x14ac:dyDescent="0.25">
      <c r="B30" s="107" t="s">
        <v>131</v>
      </c>
      <c r="C30" s="107"/>
      <c r="D30" s="107"/>
      <c r="E30" s="107"/>
      <c r="F30" s="107"/>
      <c r="G30" s="107"/>
      <c r="H30" s="107"/>
      <c r="I30" s="107"/>
      <c r="J30" s="107"/>
      <c r="K30" s="107"/>
      <c r="L30" s="107"/>
      <c r="M30" s="107"/>
      <c r="N30" s="107"/>
      <c r="O30" s="107"/>
      <c r="P30" s="107"/>
      <c r="Q30" s="107"/>
      <c r="R30" s="107"/>
      <c r="S30" s="107"/>
      <c r="T30" s="107"/>
      <c r="U30" s="107"/>
      <c r="V30" s="107"/>
      <c r="W30" s="107"/>
      <c r="X30" s="107"/>
      <c r="Y30" s="107"/>
      <c r="Z30" s="107"/>
      <c r="AA30" s="107"/>
      <c r="AB30" s="107"/>
      <c r="AC30" s="107"/>
      <c r="AD30" s="107"/>
      <c r="AE30" s="107"/>
      <c r="AF30" s="107"/>
      <c r="AG30" s="107"/>
    </row>
    <row r="31" spans="2:33" ht="7.5" customHeight="1" x14ac:dyDescent="0.25">
      <c r="B31" s="54"/>
      <c r="C31" s="54"/>
      <c r="D31" s="54"/>
      <c r="E31" s="54"/>
      <c r="F31" s="54"/>
      <c r="G31" s="54"/>
      <c r="H31" s="54"/>
      <c r="I31" s="54"/>
      <c r="J31" s="54"/>
      <c r="K31" s="54"/>
      <c r="L31" s="54"/>
      <c r="M31" s="54"/>
      <c r="N31" s="54"/>
      <c r="O31" s="54"/>
      <c r="P31" s="54"/>
      <c r="Q31" s="54"/>
      <c r="R31" s="54"/>
      <c r="S31" s="54"/>
      <c r="T31" s="54"/>
      <c r="U31" s="54"/>
      <c r="V31" s="54"/>
      <c r="W31" s="54"/>
      <c r="X31" s="54"/>
      <c r="Y31" s="54"/>
      <c r="Z31" s="54"/>
      <c r="AA31" s="54"/>
      <c r="AB31" s="54"/>
      <c r="AC31" s="54"/>
      <c r="AD31" s="54"/>
      <c r="AE31" s="54"/>
      <c r="AF31" s="54"/>
      <c r="AG31" s="54"/>
    </row>
    <row r="32" spans="2:33" x14ac:dyDescent="0.25">
      <c r="B32" s="93" t="s">
        <v>124</v>
      </c>
      <c r="C32" s="93"/>
      <c r="D32" s="93"/>
      <c r="E32" s="93"/>
      <c r="F32" s="93"/>
      <c r="G32" s="93"/>
      <c r="H32" s="93"/>
      <c r="I32" s="93"/>
      <c r="J32" s="93"/>
      <c r="L32" s="93" t="s">
        <v>134</v>
      </c>
      <c r="M32" s="93"/>
      <c r="N32" s="93"/>
      <c r="O32" s="93"/>
      <c r="P32" s="93"/>
      <c r="Q32" s="93"/>
      <c r="R32" s="93"/>
      <c r="S32" s="93"/>
      <c r="T32" s="93"/>
      <c r="V32" s="93" t="s">
        <v>135</v>
      </c>
      <c r="W32" s="93"/>
      <c r="X32" s="93"/>
      <c r="Y32" s="93"/>
      <c r="Z32" s="93"/>
      <c r="AA32" s="93"/>
      <c r="AB32" s="93"/>
      <c r="AC32" s="93"/>
      <c r="AD32" s="93"/>
      <c r="AE32" s="93"/>
      <c r="AF32" s="93"/>
      <c r="AG32" s="93"/>
    </row>
    <row r="33" spans="2:33" x14ac:dyDescent="0.25">
      <c r="B33" s="97" t="s">
        <v>138</v>
      </c>
      <c r="C33" s="97"/>
      <c r="D33" s="97"/>
      <c r="E33" s="96" t="str">
        <f>Cálculos!Uf</f>
        <v/>
      </c>
      <c r="F33" s="96"/>
      <c r="G33" s="96"/>
      <c r="H33" s="95"/>
      <c r="I33" s="95"/>
      <c r="J33" s="95"/>
      <c r="L33" s="97" t="s">
        <v>132</v>
      </c>
      <c r="M33" s="97"/>
      <c r="N33" s="97"/>
      <c r="O33" s="96" t="str">
        <f>Cálculos!Ug</f>
        <v/>
      </c>
      <c r="P33" s="96"/>
      <c r="Q33" s="96"/>
      <c r="R33" s="95"/>
      <c r="S33" s="95"/>
      <c r="T33" s="95"/>
      <c r="U33" s="53"/>
      <c r="W33" s="97" t="s">
        <v>133</v>
      </c>
      <c r="X33" s="97"/>
      <c r="Y33" s="97"/>
      <c r="Z33" s="119" t="str">
        <f>Cálculos!Ψg</f>
        <v/>
      </c>
      <c r="AA33" s="119"/>
      <c r="AB33" s="119"/>
      <c r="AC33" s="95"/>
      <c r="AD33" s="95"/>
      <c r="AE33" s="95"/>
      <c r="AF33" s="68"/>
    </row>
    <row r="34" spans="2:33" x14ac:dyDescent="0.25">
      <c r="B34" s="97"/>
      <c r="C34" s="97"/>
      <c r="D34" s="97"/>
      <c r="E34" s="96"/>
      <c r="F34" s="96"/>
      <c r="G34" s="96"/>
      <c r="H34" s="95"/>
      <c r="I34" s="95"/>
      <c r="J34" s="95"/>
      <c r="L34" s="97"/>
      <c r="M34" s="97"/>
      <c r="N34" s="97"/>
      <c r="O34" s="96"/>
      <c r="P34" s="96"/>
      <c r="Q34" s="96"/>
      <c r="R34" s="95"/>
      <c r="S34" s="95"/>
      <c r="T34" s="95"/>
      <c r="U34" s="53"/>
      <c r="W34" s="97"/>
      <c r="X34" s="97"/>
      <c r="Y34" s="97"/>
      <c r="Z34" s="119"/>
      <c r="AA34" s="119"/>
      <c r="AB34" s="119"/>
      <c r="AC34" s="95"/>
      <c r="AD34" s="95"/>
      <c r="AE34" s="95"/>
      <c r="AF34" s="68"/>
    </row>
    <row r="35" spans="2:33" x14ac:dyDescent="0.25">
      <c r="B35" s="97"/>
      <c r="C35" s="97"/>
      <c r="D35" s="97"/>
      <c r="E35" s="96"/>
      <c r="F35" s="96"/>
      <c r="G35" s="96"/>
      <c r="H35" s="95"/>
      <c r="I35" s="95"/>
      <c r="J35" s="95"/>
      <c r="L35" s="97"/>
      <c r="M35" s="97"/>
      <c r="N35" s="97"/>
      <c r="O35" s="96"/>
      <c r="P35" s="96"/>
      <c r="Q35" s="96"/>
      <c r="R35" s="95"/>
      <c r="S35" s="95"/>
      <c r="T35" s="95"/>
      <c r="U35" s="53"/>
      <c r="W35" s="97"/>
      <c r="X35" s="97"/>
      <c r="Y35" s="97"/>
      <c r="Z35" s="119"/>
      <c r="AA35" s="119"/>
      <c r="AB35" s="119"/>
      <c r="AC35" s="95"/>
      <c r="AD35" s="95"/>
      <c r="AE35" s="95"/>
      <c r="AF35" s="68"/>
    </row>
    <row r="36" spans="2:33" ht="7.5" customHeight="1" x14ac:dyDescent="0.25"/>
    <row r="37" spans="2:33" x14ac:dyDescent="0.25">
      <c r="B37" s="107" t="s">
        <v>136</v>
      </c>
      <c r="C37" s="107"/>
      <c r="D37" s="107"/>
      <c r="E37" s="107"/>
      <c r="F37" s="107"/>
      <c r="G37" s="107"/>
      <c r="H37" s="107"/>
      <c r="I37" s="107"/>
      <c r="J37" s="107"/>
      <c r="K37" s="107"/>
      <c r="L37" s="107"/>
      <c r="M37" s="107"/>
      <c r="N37" s="107"/>
      <c r="O37" s="107"/>
      <c r="P37" s="107"/>
      <c r="Q37" s="107"/>
      <c r="R37" s="107"/>
      <c r="S37" s="107"/>
      <c r="T37" s="107"/>
      <c r="U37" s="107"/>
      <c r="V37" s="107"/>
      <c r="W37" s="107"/>
      <c r="X37" s="107"/>
      <c r="Y37" s="107"/>
      <c r="Z37" s="107"/>
      <c r="AA37" s="107"/>
      <c r="AB37" s="107"/>
      <c r="AC37" s="107"/>
      <c r="AD37" s="107"/>
      <c r="AE37" s="107"/>
      <c r="AF37" s="107"/>
      <c r="AG37" s="107"/>
    </row>
    <row r="38" spans="2:33" ht="7.5" customHeight="1" x14ac:dyDescent="0.25">
      <c r="B38" s="54"/>
      <c r="C38" s="54"/>
      <c r="D38" s="54"/>
      <c r="E38" s="54"/>
      <c r="F38" s="54"/>
      <c r="G38" s="54"/>
      <c r="H38" s="54"/>
      <c r="I38" s="54"/>
      <c r="J38" s="54"/>
      <c r="K38" s="54"/>
      <c r="L38" s="54"/>
      <c r="M38" s="54"/>
      <c r="N38" s="54"/>
      <c r="O38" s="54"/>
      <c r="P38" s="54"/>
      <c r="Q38" s="54"/>
      <c r="R38" s="54"/>
      <c r="S38" s="54"/>
      <c r="T38" s="54"/>
      <c r="U38" s="54"/>
      <c r="V38" s="54"/>
      <c r="W38" s="54"/>
      <c r="X38" s="54"/>
      <c r="Y38" s="54"/>
      <c r="Z38" s="54"/>
      <c r="AA38" s="54"/>
      <c r="AB38" s="54"/>
      <c r="AC38" s="54"/>
      <c r="AD38" s="54"/>
      <c r="AE38" s="54"/>
      <c r="AF38" s="54"/>
      <c r="AG38" s="54"/>
    </row>
    <row r="39" spans="2:33" ht="12" customHeight="1" x14ac:dyDescent="0.25">
      <c r="B39" s="54"/>
      <c r="C39" s="121" t="s">
        <v>130</v>
      </c>
      <c r="D39" s="121"/>
      <c r="E39" s="121"/>
      <c r="F39" s="121"/>
      <c r="G39" s="121"/>
      <c r="H39" s="121"/>
      <c r="I39" s="121"/>
      <c r="J39" s="121"/>
      <c r="K39" s="121"/>
      <c r="L39" s="121"/>
      <c r="M39" s="121"/>
      <c r="N39" s="121"/>
      <c r="O39" s="121"/>
      <c r="P39" s="122" t="str">
        <f>Cálculos!Uw</f>
        <v/>
      </c>
      <c r="Q39" s="122"/>
      <c r="R39" s="122"/>
      <c r="S39" s="93"/>
      <c r="T39" s="93"/>
      <c r="U39" s="93"/>
      <c r="V39" s="54"/>
      <c r="W39" s="54"/>
      <c r="Y39" s="54"/>
      <c r="Z39" s="54"/>
      <c r="AA39" s="54"/>
      <c r="AB39" s="83" t="s">
        <v>157</v>
      </c>
      <c r="AC39" s="83"/>
      <c r="AD39" s="83"/>
      <c r="AE39" s="83"/>
    </row>
    <row r="40" spans="2:33" ht="15" customHeight="1" x14ac:dyDescent="0.25">
      <c r="C40" s="121"/>
      <c r="D40" s="121"/>
      <c r="E40" s="121"/>
      <c r="F40" s="121"/>
      <c r="G40" s="121"/>
      <c r="H40" s="121"/>
      <c r="I40" s="121"/>
      <c r="J40" s="121"/>
      <c r="K40" s="121"/>
      <c r="L40" s="121"/>
      <c r="M40" s="121"/>
      <c r="N40" s="121"/>
      <c r="O40" s="121"/>
      <c r="P40" s="122"/>
      <c r="Q40" s="122"/>
      <c r="R40" s="122"/>
      <c r="S40" s="93"/>
      <c r="T40" s="93"/>
      <c r="U40" s="93"/>
      <c r="X40" s="118" t="s">
        <v>159</v>
      </c>
      <c r="Y40" s="118"/>
      <c r="Z40" s="118"/>
      <c r="AA40" s="118"/>
      <c r="AB40" s="117">
        <f>aporte_marco</f>
        <v>0</v>
      </c>
      <c r="AC40" s="117"/>
      <c r="AD40" s="116">
        <f>aporte_marco</f>
        <v>0</v>
      </c>
      <c r="AE40" s="116"/>
    </row>
    <row r="41" spans="2:33" ht="15" customHeight="1" x14ac:dyDescent="0.25">
      <c r="C41" s="121"/>
      <c r="D41" s="121"/>
      <c r="E41" s="121"/>
      <c r="F41" s="121"/>
      <c r="G41" s="121"/>
      <c r="H41" s="121"/>
      <c r="I41" s="121"/>
      <c r="J41" s="121"/>
      <c r="K41" s="121"/>
      <c r="L41" s="121"/>
      <c r="M41" s="121"/>
      <c r="N41" s="121"/>
      <c r="O41" s="121"/>
      <c r="P41" s="122"/>
      <c r="Q41" s="122"/>
      <c r="R41" s="122"/>
      <c r="S41" s="93"/>
      <c r="T41" s="93"/>
      <c r="U41" s="93"/>
      <c r="X41" s="118" t="s">
        <v>95</v>
      </c>
      <c r="Y41" s="118"/>
      <c r="Z41" s="118"/>
      <c r="AA41" s="118"/>
      <c r="AB41" s="117">
        <f>aporte_vidriado</f>
        <v>0</v>
      </c>
      <c r="AC41" s="117"/>
      <c r="AD41" s="116">
        <f>aporte_vidriado</f>
        <v>0</v>
      </c>
      <c r="AE41" s="116"/>
    </row>
    <row r="42" spans="2:33" ht="15" customHeight="1" x14ac:dyDescent="0.25">
      <c r="C42" s="121"/>
      <c r="D42" s="121"/>
      <c r="E42" s="121"/>
      <c r="F42" s="121"/>
      <c r="G42" s="121"/>
      <c r="H42" s="121"/>
      <c r="I42" s="121"/>
      <c r="J42" s="121"/>
      <c r="K42" s="121"/>
      <c r="L42" s="121"/>
      <c r="M42" s="121"/>
      <c r="N42" s="121"/>
      <c r="O42" s="121"/>
      <c r="P42" s="122"/>
      <c r="Q42" s="122"/>
      <c r="R42" s="122"/>
      <c r="S42" s="93"/>
      <c r="T42" s="93"/>
      <c r="U42" s="93"/>
      <c r="X42" s="118" t="s">
        <v>160</v>
      </c>
      <c r="Y42" s="118"/>
      <c r="Z42" s="118"/>
      <c r="AA42" s="118"/>
      <c r="AB42" s="117">
        <f>aporte_espaciador</f>
        <v>0</v>
      </c>
      <c r="AC42" s="117"/>
      <c r="AD42" s="116">
        <f>aporte_espaciador</f>
        <v>0</v>
      </c>
      <c r="AE42" s="116"/>
    </row>
    <row r="43" spans="2:33" ht="7.5" customHeight="1" x14ac:dyDescent="0.25">
      <c r="F43" s="69"/>
      <c r="G43" s="69"/>
      <c r="Z43" s="53"/>
      <c r="AA43" s="53"/>
    </row>
    <row r="44" spans="2:33" x14ac:dyDescent="0.25">
      <c r="B44" s="20" t="s">
        <v>121</v>
      </c>
    </row>
    <row r="45" spans="2:33" x14ac:dyDescent="0.25">
      <c r="B45" s="115" t="str">
        <f>txt_cálculo</f>
        <v/>
      </c>
      <c r="C45" s="115"/>
      <c r="D45" s="115"/>
      <c r="E45" s="115"/>
      <c r="F45" s="115"/>
      <c r="G45" s="115"/>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row>
    <row r="46" spans="2:33" x14ac:dyDescent="0.25">
      <c r="B46" s="115"/>
      <c r="C46" s="115"/>
      <c r="D46" s="115"/>
      <c r="E46" s="115"/>
      <c r="F46" s="115"/>
      <c r="G46" s="115"/>
      <c r="H46" s="115"/>
      <c r="I46" s="115"/>
      <c r="J46" s="115"/>
      <c r="K46" s="115"/>
      <c r="L46" s="115"/>
      <c r="M46" s="115"/>
      <c r="N46" s="115"/>
      <c r="O46" s="115"/>
      <c r="P46" s="115"/>
      <c r="Q46" s="115"/>
      <c r="R46" s="115"/>
      <c r="S46" s="115"/>
      <c r="T46" s="115"/>
      <c r="U46" s="115"/>
      <c r="V46" s="115"/>
      <c r="W46" s="115"/>
      <c r="X46" s="115"/>
      <c r="Y46" s="115"/>
      <c r="Z46" s="115"/>
      <c r="AA46" s="115"/>
      <c r="AB46" s="115"/>
      <c r="AC46" s="115"/>
      <c r="AD46" s="115"/>
      <c r="AE46" s="115"/>
      <c r="AF46" s="115"/>
    </row>
    <row r="47" spans="2:33" x14ac:dyDescent="0.25">
      <c r="B47" s="115"/>
      <c r="C47" s="115"/>
      <c r="D47" s="115"/>
      <c r="E47" s="115"/>
      <c r="F47" s="115"/>
      <c r="G47" s="115"/>
      <c r="H47" s="115"/>
      <c r="I47" s="115"/>
      <c r="J47" s="115"/>
      <c r="K47" s="115"/>
      <c r="L47" s="115"/>
      <c r="M47" s="115"/>
      <c r="N47" s="115"/>
      <c r="O47" s="115"/>
      <c r="P47" s="115"/>
      <c r="Q47" s="115"/>
      <c r="R47" s="115"/>
      <c r="S47" s="115"/>
      <c r="T47" s="115"/>
      <c r="U47" s="115"/>
      <c r="V47" s="115"/>
      <c r="W47" s="115"/>
      <c r="X47" s="115"/>
      <c r="Y47" s="115"/>
      <c r="Z47" s="115"/>
      <c r="AA47" s="115"/>
      <c r="AB47" s="115"/>
      <c r="AC47" s="115"/>
      <c r="AD47" s="115"/>
      <c r="AE47" s="115"/>
      <c r="AF47" s="115"/>
    </row>
    <row r="48" spans="2:33" x14ac:dyDescent="0.25">
      <c r="B48" s="115"/>
      <c r="C48" s="115"/>
      <c r="D48" s="115"/>
      <c r="E48" s="115"/>
      <c r="F48" s="115"/>
      <c r="G48" s="115"/>
      <c r="H48" s="115"/>
      <c r="I48" s="115"/>
      <c r="J48" s="115"/>
      <c r="K48" s="115"/>
      <c r="L48" s="115"/>
      <c r="M48" s="115"/>
      <c r="N48" s="115"/>
      <c r="O48" s="115"/>
      <c r="P48" s="115"/>
      <c r="Q48" s="115"/>
      <c r="R48" s="115"/>
      <c r="S48" s="115"/>
      <c r="T48" s="115"/>
      <c r="U48" s="115"/>
      <c r="V48" s="115"/>
      <c r="W48" s="115"/>
      <c r="X48" s="115"/>
      <c r="Y48" s="115"/>
      <c r="Z48" s="115"/>
      <c r="AA48" s="115"/>
      <c r="AB48" s="115"/>
      <c r="AC48" s="115"/>
      <c r="AD48" s="115"/>
      <c r="AE48" s="115"/>
      <c r="AF48" s="115"/>
    </row>
    <row r="49" spans="2:33" ht="15" customHeight="1" x14ac:dyDescent="0.25">
      <c r="B49" s="115"/>
      <c r="C49" s="115"/>
      <c r="D49" s="115"/>
      <c r="E49" s="115"/>
      <c r="F49" s="115"/>
      <c r="G49" s="115"/>
      <c r="H49" s="115"/>
      <c r="I49" s="115"/>
      <c r="J49" s="115"/>
      <c r="K49" s="115"/>
      <c r="L49" s="115"/>
      <c r="M49" s="115"/>
      <c r="N49" s="115"/>
      <c r="O49" s="115"/>
      <c r="P49" s="115"/>
      <c r="Q49" s="115"/>
      <c r="R49" s="115"/>
      <c r="S49" s="115"/>
      <c r="T49" s="115"/>
      <c r="U49" s="115"/>
      <c r="V49" s="115"/>
      <c r="W49" s="115"/>
      <c r="X49" s="115"/>
      <c r="Y49" s="115"/>
      <c r="Z49" s="115"/>
      <c r="AA49" s="115"/>
      <c r="AB49" s="115"/>
      <c r="AC49" s="115"/>
      <c r="AD49" s="115"/>
      <c r="AE49" s="115"/>
      <c r="AF49" s="115"/>
    </row>
    <row r="50" spans="2:33" ht="7.5" customHeight="1" x14ac:dyDescent="0.25"/>
    <row r="51" spans="2:33" x14ac:dyDescent="0.25">
      <c r="B51" s="92" t="s">
        <v>141</v>
      </c>
      <c r="C51" s="92"/>
      <c r="D51" s="92"/>
      <c r="E51" s="91"/>
      <c r="F51" s="91"/>
      <c r="G51" s="91"/>
      <c r="H51" s="91"/>
      <c r="J51" s="19" t="s">
        <v>146</v>
      </c>
      <c r="L51" s="24"/>
      <c r="T51" s="91"/>
      <c r="U51" s="91"/>
      <c r="V51" s="91"/>
      <c r="W51" s="91"/>
      <c r="X51" s="91"/>
      <c r="Y51" s="91"/>
      <c r="Z51" s="91"/>
      <c r="AA51" s="91"/>
      <c r="AB51" s="91"/>
      <c r="AC51" s="91"/>
      <c r="AD51" s="91"/>
      <c r="AE51" s="91"/>
      <c r="AF51" s="91"/>
      <c r="AG51" s="24"/>
    </row>
    <row r="52" spans="2:33" x14ac:dyDescent="0.25"/>
    <row r="53" spans="2:33" x14ac:dyDescent="0.25"/>
    <row r="54" spans="2:33" ht="15" hidden="1" customHeight="1" x14ac:dyDescent="0.25">
      <c r="D54" s="20"/>
      <c r="E54" s="20"/>
      <c r="F54" s="20"/>
      <c r="G54" s="20"/>
      <c r="H54" s="20"/>
      <c r="I54" s="20"/>
    </row>
    <row r="55" spans="2:33" hidden="1" x14ac:dyDescent="0.25">
      <c r="D55" s="55"/>
      <c r="E55" s="55"/>
      <c r="F55" s="55"/>
      <c r="G55" s="55"/>
      <c r="H55" s="55"/>
      <c r="I55" s="55"/>
    </row>
    <row r="56" spans="2:33" hidden="1" x14ac:dyDescent="0.25">
      <c r="D56" s="55"/>
      <c r="E56" s="55"/>
      <c r="F56" s="55"/>
      <c r="G56" s="55"/>
      <c r="H56" s="55"/>
      <c r="I56" s="55"/>
    </row>
    <row r="57" spans="2:33" hidden="1" x14ac:dyDescent="0.25">
      <c r="C57" s="55"/>
      <c r="D57" s="55"/>
      <c r="E57" s="55"/>
      <c r="F57" s="55"/>
      <c r="G57" s="55"/>
      <c r="H57" s="55"/>
      <c r="I57" s="55"/>
    </row>
    <row r="58" spans="2:33" x14ac:dyDescent="0.25"/>
    <row r="59" spans="2:33" x14ac:dyDescent="0.25"/>
    <row r="60" spans="2:33" x14ac:dyDescent="0.25"/>
  </sheetData>
  <sheetProtection algorithmName="SHA-512" hashValue="lgy0UANMQ5GGREo460EMgrGmJiJckASitq1iiPGtEZkHYLdAMLvKLGgA5qNjoMWE9A38zpTtdbeSy90xvHAJqw==" saltValue="+JyHYU7sLtFkh0lRfjwL4g==" spinCount="100000" sheet="1" selectLockedCells="1"/>
  <mergeCells count="93">
    <mergeCell ref="C39:O42"/>
    <mergeCell ref="P39:R42"/>
    <mergeCell ref="S39:U42"/>
    <mergeCell ref="V32:AG32"/>
    <mergeCell ref="T24:U24"/>
    <mergeCell ref="B33:D35"/>
    <mergeCell ref="O33:Q35"/>
    <mergeCell ref="W26:X26"/>
    <mergeCell ref="L32:T32"/>
    <mergeCell ref="Z26:AA26"/>
    <mergeCell ref="W27:X27"/>
    <mergeCell ref="Z27:AA27"/>
    <mergeCell ref="B45:AF49"/>
    <mergeCell ref="Z28:AA28"/>
    <mergeCell ref="AD40:AE40"/>
    <mergeCell ref="AD41:AE41"/>
    <mergeCell ref="AD42:AE42"/>
    <mergeCell ref="AB40:AC40"/>
    <mergeCell ref="AB41:AC41"/>
    <mergeCell ref="AB42:AC42"/>
    <mergeCell ref="X40:AA40"/>
    <mergeCell ref="X41:AA41"/>
    <mergeCell ref="X42:AA42"/>
    <mergeCell ref="B30:AG30"/>
    <mergeCell ref="Z33:AB35"/>
    <mergeCell ref="B37:AG37"/>
    <mergeCell ref="W28:X28"/>
    <mergeCell ref="AB39:AE39"/>
    <mergeCell ref="B1:AG1"/>
    <mergeCell ref="J19:K19"/>
    <mergeCell ref="H4:I4"/>
    <mergeCell ref="Q4:R4"/>
    <mergeCell ref="C4:G4"/>
    <mergeCell ref="L4:P4"/>
    <mergeCell ref="B2:AG2"/>
    <mergeCell ref="T8:U8"/>
    <mergeCell ref="U18:Y18"/>
    <mergeCell ref="AA10:AB10"/>
    <mergeCell ref="J8:K8"/>
    <mergeCell ref="B16:AG16"/>
    <mergeCell ref="T19:W19"/>
    <mergeCell ref="O19:S19"/>
    <mergeCell ref="AC18:AF18"/>
    <mergeCell ref="H18:L18"/>
    <mergeCell ref="T51:AF51"/>
    <mergeCell ref="B51:D51"/>
    <mergeCell ref="E51:H51"/>
    <mergeCell ref="H14:L14"/>
    <mergeCell ref="B32:J32"/>
    <mergeCell ref="J22:K22"/>
    <mergeCell ref="J23:K23"/>
    <mergeCell ref="H33:J35"/>
    <mergeCell ref="R33:T35"/>
    <mergeCell ref="E33:G35"/>
    <mergeCell ref="L33:N35"/>
    <mergeCell ref="W33:Y35"/>
    <mergeCell ref="AC33:AE35"/>
    <mergeCell ref="X24:AF24"/>
    <mergeCell ref="X21:AF21"/>
    <mergeCell ref="X23:AF23"/>
    <mergeCell ref="C28:U28"/>
    <mergeCell ref="Q14:X14"/>
    <mergeCell ref="Z14:AA14"/>
    <mergeCell ref="H13:O13"/>
    <mergeCell ref="AC4:AD4"/>
    <mergeCell ref="AC13:AD13"/>
    <mergeCell ref="U4:AB4"/>
    <mergeCell ref="X20:AF20"/>
    <mergeCell ref="X22:AF22"/>
    <mergeCell ref="O24:S24"/>
    <mergeCell ref="O23:S23"/>
    <mergeCell ref="Z13:AA13"/>
    <mergeCell ref="AA18:AB18"/>
    <mergeCell ref="AC8:AD8"/>
    <mergeCell ref="X19:AF19"/>
    <mergeCell ref="O20:S20"/>
    <mergeCell ref="Q13:X13"/>
    <mergeCell ref="V25:Y25"/>
    <mergeCell ref="AC14:AD14"/>
    <mergeCell ref="C27:U27"/>
    <mergeCell ref="C26:U26"/>
    <mergeCell ref="T20:U20"/>
    <mergeCell ref="T21:U21"/>
    <mergeCell ref="T22:U22"/>
    <mergeCell ref="T23:U23"/>
    <mergeCell ref="O21:S21"/>
    <mergeCell ref="O22:S22"/>
    <mergeCell ref="C20:L21"/>
    <mergeCell ref="M10:N10"/>
    <mergeCell ref="D8:I8"/>
    <mergeCell ref="N8:S8"/>
    <mergeCell ref="W8:AB8"/>
    <mergeCell ref="Y12:AB12"/>
  </mergeCells>
  <conditionalFormatting sqref="AD40:AE42">
    <cfRule type="dataBar" priority="21">
      <dataBar showValue="0">
        <cfvo type="min"/>
        <cfvo type="max"/>
        <color rgb="FFFFB628"/>
      </dataBar>
      <extLst>
        <ext xmlns:x14="http://schemas.microsoft.com/office/spreadsheetml/2009/9/main" uri="{B025F937-C7B1-47D3-B67F-A62EFF666E3E}">
          <x14:id>{EA3CA03C-7155-48C4-BE5D-E34CE55369A9}</x14:id>
        </ext>
      </extLst>
    </cfRule>
  </conditionalFormatting>
  <dataValidations count="1">
    <dataValidation type="list" allowBlank="1" showInputMessage="1" showErrorMessage="1" sqref="H14:L14" xr:uid="{00000000-0002-0000-0100-000000000000}">
      <formula1>opciones_tipo_cierre</formula1>
    </dataValidation>
  </dataValidation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53" r:id="rId4" name="Option Button 5">
              <controlPr defaultSize="0" autoFill="0" autoLine="0" autoPict="0">
                <anchor moveWithCells="1">
                  <from>
                    <xdr:col>3</xdr:col>
                    <xdr:colOff>0</xdr:colOff>
                    <xdr:row>5</xdr:row>
                    <xdr:rowOff>180975</xdr:rowOff>
                  </from>
                  <to>
                    <xdr:col>4</xdr:col>
                    <xdr:colOff>123825</xdr:colOff>
                    <xdr:row>7</xdr:row>
                    <xdr:rowOff>19050</xdr:rowOff>
                  </to>
                </anchor>
              </controlPr>
            </control>
          </mc:Choice>
        </mc:AlternateContent>
        <mc:AlternateContent xmlns:mc="http://schemas.openxmlformats.org/markup-compatibility/2006">
          <mc:Choice Requires="x14">
            <control shapeId="2054" r:id="rId5" name="Option Button 6">
              <controlPr defaultSize="0" autoFill="0" autoLine="0" autoPict="0">
                <anchor moveWithCells="1">
                  <from>
                    <xdr:col>13</xdr:col>
                    <xdr:colOff>0</xdr:colOff>
                    <xdr:row>6</xdr:row>
                    <xdr:rowOff>0</xdr:rowOff>
                  </from>
                  <to>
                    <xdr:col>14</xdr:col>
                    <xdr:colOff>123825</xdr:colOff>
                    <xdr:row>7</xdr:row>
                    <xdr:rowOff>28575</xdr:rowOff>
                  </to>
                </anchor>
              </controlPr>
            </control>
          </mc:Choice>
        </mc:AlternateContent>
        <mc:AlternateContent xmlns:mc="http://schemas.openxmlformats.org/markup-compatibility/2006">
          <mc:Choice Requires="x14">
            <control shapeId="2063" r:id="rId6" name="Option Button 15">
              <controlPr defaultSize="0" autoFill="0" autoLine="0" autoPict="0">
                <anchor moveWithCells="1">
                  <from>
                    <xdr:col>22</xdr:col>
                    <xdr:colOff>0</xdr:colOff>
                    <xdr:row>6</xdr:row>
                    <xdr:rowOff>0</xdr:rowOff>
                  </from>
                  <to>
                    <xdr:col>23</xdr:col>
                    <xdr:colOff>123825</xdr:colOff>
                    <xdr:row>7</xdr:row>
                    <xdr:rowOff>28575</xdr:rowOff>
                  </to>
                </anchor>
              </controlPr>
            </control>
          </mc:Choice>
        </mc:AlternateContent>
        <mc:AlternateContent xmlns:mc="http://schemas.openxmlformats.org/markup-compatibility/2006">
          <mc:Choice Requires="x14">
            <control shapeId="2066" r:id="rId7" name="Group Box 18">
              <controlPr defaultSize="0" autoFill="0" autoPict="0">
                <anchor moveWithCells="1">
                  <from>
                    <xdr:col>1</xdr:col>
                    <xdr:colOff>142875</xdr:colOff>
                    <xdr:row>5</xdr:row>
                    <xdr:rowOff>9525</xdr:rowOff>
                  </from>
                  <to>
                    <xdr:col>32</xdr:col>
                    <xdr:colOff>19050</xdr:colOff>
                    <xdr:row>10</xdr:row>
                    <xdr:rowOff>57150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1" id="{19CBD635-7F1D-4992-9A10-C84ED3E51D08}">
            <xm:f>(Cálculos!$C$16&gt;=0)</xm:f>
            <x14:dxf>
              <font>
                <color theme="0"/>
              </font>
              <fill>
                <patternFill>
                  <bgColor theme="0"/>
                </patternFill>
              </fill>
              <border>
                <left/>
                <right/>
                <top/>
                <bottom/>
                <vertical/>
                <horizontal/>
              </border>
            </x14:dxf>
          </x14:cfRule>
          <xm:sqref>C20 C22:H23 J22:L23</xm:sqref>
        </x14:conditionalFormatting>
        <x14:conditionalFormatting xmlns:xm="http://schemas.microsoft.com/office/excel/2006/main">
          <x14:cfRule type="expression" priority="2" id="{C1A604E9-7CF4-41D6-AE9E-DFA32450519E}">
            <xm:f>ISBLANK($U$18)+($U$18=Aux!$G$25)</xm:f>
            <x14:dxf>
              <font>
                <color theme="0"/>
              </font>
              <fill>
                <patternFill>
                  <bgColor theme="0"/>
                </patternFill>
              </fill>
              <border>
                <bottom/>
                <vertical/>
                <horizontal/>
              </border>
            </x14:dxf>
          </x14:cfRule>
          <xm:sqref>C27:AD28</xm:sqref>
        </x14:conditionalFormatting>
        <x14:conditionalFormatting xmlns:xm="http://schemas.microsoft.com/office/excel/2006/main">
          <x14:cfRule type="expression" priority="34" id="{5EE11C33-D78A-470A-B580-BBA9F35BB5D6}">
            <xm:f>(Cálculos!$C$16&gt;2)+(Cálculos!$C$16=0)</xm:f>
            <x14:dxf>
              <font>
                <color theme="0"/>
              </font>
              <fill>
                <patternFill>
                  <bgColor theme="0"/>
                </patternFill>
              </fill>
              <border>
                <bottom/>
                <vertical/>
                <horizontal/>
              </border>
            </x14:dxf>
          </x14:cfRule>
          <xm:sqref>J19:M19</xm:sqref>
        </x14:conditionalFormatting>
        <x14:conditionalFormatting xmlns:xm="http://schemas.microsoft.com/office/excel/2006/main">
          <x14:cfRule type="expression" priority="19" id="{5E36DCA5-4F20-4AF8-9C3F-9C33E8CA3149}">
            <xm:f>Cálculos!$J$3=0</xm:f>
            <x14:dxf>
              <font>
                <color theme="0"/>
              </font>
              <fill>
                <patternFill>
                  <bgColor theme="0"/>
                </patternFill>
              </fill>
              <border>
                <left/>
                <right/>
                <top/>
                <bottom/>
              </border>
            </x14:dxf>
          </x14:cfRule>
          <xm:sqref>O19:AF20</xm:sqref>
        </x14:conditionalFormatting>
        <x14:conditionalFormatting xmlns:xm="http://schemas.microsoft.com/office/excel/2006/main">
          <x14:cfRule type="expression" priority="1" id="{F3AD4EB7-A420-4166-AD1B-6C9510F897DE}">
            <xm:f>ISBLANK($U$18)+($U$18=Aux!$G$25)</xm:f>
            <x14:dxf>
              <font>
                <color theme="0"/>
              </font>
              <fill>
                <patternFill>
                  <bgColor theme="0"/>
                </patternFill>
              </fill>
              <border>
                <left/>
                <right/>
                <top/>
                <bottom/>
                <vertical/>
                <horizontal/>
              </border>
            </x14:dxf>
          </x14:cfRule>
          <xm:sqref>O21:AF22</xm:sqref>
        </x14:conditionalFormatting>
        <x14:conditionalFormatting xmlns:xm="http://schemas.microsoft.com/office/excel/2006/main">
          <x14:cfRule type="expression" priority="25" id="{71FF0EB1-A0D4-48EE-9034-E79E733188D8}">
            <xm:f>Cálculos!$J$3&lt;3</xm:f>
            <x14:dxf>
              <font>
                <color theme="0"/>
              </font>
              <fill>
                <patternFill>
                  <bgColor theme="0"/>
                </patternFill>
              </fill>
              <border>
                <left/>
                <right/>
                <top/>
                <bottom/>
                <vertical/>
                <horizontal/>
              </border>
            </x14:dxf>
          </x14:cfRule>
          <xm:sqref>O23:AF24</xm:sqref>
        </x14:conditionalFormatting>
        <x14:conditionalFormatting xmlns:xm="http://schemas.microsoft.com/office/excel/2006/main">
          <x14:cfRule type="expression" priority="4" id="{F2AA336F-5FDA-4466-9F85-4B42E5884731}">
            <xm:f>(Cálculos!$J$18&lt;2)+(Cálculos!$J$18&gt;3)</xm:f>
            <x14:dxf>
              <font>
                <color theme="0"/>
              </font>
              <fill>
                <patternFill>
                  <bgColor theme="0"/>
                </patternFill>
              </fill>
              <border>
                <bottom/>
              </border>
            </x14:dxf>
          </x14:cfRule>
          <xm:sqref>Q14:X14 AC14:AD14</xm:sqref>
        </x14:conditionalFormatting>
        <x14:conditionalFormatting xmlns:xm="http://schemas.microsoft.com/office/excel/2006/main">
          <x14:cfRule type="expression" priority="3" id="{9FFD3488-2A17-429A-9D75-EC56CE3A2F03}">
            <xm:f>(Cálculos!$J$18&lt;2)+(Cálculos!$J$18&gt;3)</xm:f>
            <x14:dxf>
              <font>
                <color theme="0"/>
              </font>
              <fill>
                <patternFill>
                  <bgColor theme="0"/>
                </patternFill>
              </fill>
              <border>
                <bottom/>
              </border>
            </x14:dxf>
          </x14:cfRule>
          <xm:sqref>Z14:AA14</xm:sqref>
        </x14:conditionalFormatting>
        <x14:conditionalFormatting xmlns:xm="http://schemas.microsoft.com/office/excel/2006/main">
          <x14:cfRule type="expression" priority="30" id="{95C7A051-AFE6-4E7A-AFE3-C78C80B10265}">
            <xm:f>Cálculos!$J$3&lt;2</xm:f>
            <x14:dxf>
              <font>
                <color theme="0"/>
              </font>
              <fill>
                <patternFill>
                  <bgColor theme="0"/>
                </patternFill>
              </fill>
              <border>
                <left/>
                <right/>
                <top/>
                <bottom/>
              </border>
            </x14:dxf>
          </x14:cfRule>
          <xm:sqref>AA18:AF18</xm:sqref>
        </x14:conditionalFormatting>
        <x14:conditionalFormatting xmlns:xm="http://schemas.microsoft.com/office/excel/2006/main">
          <x14:cfRule type="dataBar" id="{EA3CA03C-7155-48C4-BE5D-E34CE55369A9}">
            <x14:dataBar minLength="0" maxLength="100" gradient="0" direction="leftToRight">
              <x14:cfvo type="autoMin"/>
              <x14:cfvo type="autoMax"/>
              <x14:negativeFillColor rgb="FFFF0000"/>
              <x14:axisColor rgb="FF000000"/>
            </x14:dataBar>
          </x14:cfRule>
          <xm:sqref>AD40:AE42</xm:sqref>
        </x14:conditionalFormatting>
        <x14:conditionalFormatting xmlns:xm="http://schemas.microsoft.com/office/excel/2006/main">
          <x14:cfRule type="expression" priority="5" id="{DE758456-F271-4D64-AB1A-D78518FBEF85}">
            <xm:f>Cálculos!$J$3&lt;2</xm:f>
            <x14:dxf>
              <font>
                <color theme="0"/>
              </font>
              <fill>
                <patternFill>
                  <bgColor theme="0"/>
                </patternFill>
              </fill>
              <border>
                <left/>
                <right/>
                <top/>
                <bottom/>
                <vertical/>
                <horizontal/>
              </border>
            </x14:dxf>
          </x14:cfRule>
          <xm:sqref>AE13</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1000000}">
          <x14:formula1>
            <xm:f>Aux!$C$26:$C$29</xm:f>
          </x14:formula1>
          <xm:sqref>H18</xm:sqref>
        </x14:dataValidation>
        <x14:dataValidation type="list" allowBlank="1" showInputMessage="1" showErrorMessage="1" xr:uid="{00000000-0002-0000-0100-000002000000}">
          <x14:formula1>
            <xm:f>Aux!$G$31:$G$35</xm:f>
          </x14:formula1>
          <xm:sqref>X22 X20</xm:sqref>
        </x14:dataValidation>
        <x14:dataValidation type="list" allowBlank="1" showInputMessage="1" showErrorMessage="1" xr:uid="{00000000-0002-0000-0100-000003000000}">
          <x14:formula1>
            <xm:f>Aux!$G$25:$G$26</xm:f>
          </x14:formula1>
          <xm:sqref>U18:Y18</xm:sqref>
        </x14:dataValidation>
        <x14:dataValidation type="list" allowBlank="1" xr:uid="{00000000-0002-0000-0100-000004000000}">
          <x14:formula1>
            <xm:f>Aux!$H$78:$H$81</xm:f>
          </x14:formula1>
          <xm:sqref>H13</xm:sqref>
        </x14:dataValidation>
        <x14:dataValidation type="list" allowBlank="1" showInputMessage="1" showErrorMessage="1" xr:uid="{00000000-0002-0000-0100-000005000000}">
          <x14:formula1>
            <xm:f>Aux!$G$38:$G$39</xm:f>
          </x14:formula1>
          <xm:sqref>X21:AF21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B1:W48"/>
  <sheetViews>
    <sheetView workbookViewId="0">
      <selection activeCell="G6" sqref="G6"/>
    </sheetView>
  </sheetViews>
  <sheetFormatPr baseColWidth="10" defaultRowHeight="15" x14ac:dyDescent="0.25"/>
  <cols>
    <col min="1" max="1" width="3" customWidth="1"/>
    <col min="2" max="2" width="14.5703125" customWidth="1"/>
    <col min="5" max="5" width="11.85546875" bestFit="1" customWidth="1"/>
    <col min="6" max="6" width="7" customWidth="1"/>
    <col min="7" max="7" width="7" bestFit="1" customWidth="1"/>
    <col min="9" max="9" width="18.7109375" customWidth="1"/>
    <col min="14" max="14" width="11.85546875" bestFit="1" customWidth="1"/>
    <col min="15" max="15" width="40.140625" customWidth="1"/>
    <col min="16" max="17" width="11.85546875" bestFit="1" customWidth="1"/>
  </cols>
  <sheetData>
    <row r="1" spans="2:23" ht="15.75" thickBot="1" x14ac:dyDescent="0.3"/>
    <row r="2" spans="2:23" ht="15.75" thickBot="1" x14ac:dyDescent="0.3">
      <c r="B2" s="31" t="s">
        <v>151</v>
      </c>
      <c r="C2" s="32"/>
      <c r="D2" s="32"/>
      <c r="E2" s="32"/>
      <c r="F2" s="32"/>
      <c r="G2" s="33"/>
      <c r="I2" s="31" t="s">
        <v>77</v>
      </c>
      <c r="J2" s="34" t="s">
        <v>2</v>
      </c>
      <c r="K2" s="34" t="str">
        <f>IFERROR(CHOOSE(tipo_vidriado,1/(Rsi+L5+Rse),1/(Rsi+L5+L6+L7+Rse),1/(Rsi+L5+L6+L7+L8+L9+Rse)),"")</f>
        <v/>
      </c>
      <c r="L2" s="34" t="s">
        <v>175</v>
      </c>
      <c r="M2" s="34"/>
      <c r="N2" s="34"/>
      <c r="O2" s="35"/>
      <c r="Q2" s="48" t="s">
        <v>237</v>
      </c>
      <c r="R2" s="49"/>
      <c r="S2" s="48" t="s">
        <v>53</v>
      </c>
      <c r="T2" s="50" t="e">
        <f>1/U8</f>
        <v>#DIV/0!</v>
      </c>
      <c r="U2" s="51" t="s">
        <v>238</v>
      </c>
      <c r="V2" s="49"/>
      <c r="W2" s="52"/>
    </row>
    <row r="3" spans="2:23" x14ac:dyDescent="0.25">
      <c r="B3" s="5"/>
      <c r="C3" t="s">
        <v>92</v>
      </c>
      <c r="D3">
        <f>Datos!H4/1000</f>
        <v>0</v>
      </c>
      <c r="E3" t="s">
        <v>30</v>
      </c>
      <c r="G3" s="6"/>
      <c r="I3" s="5" t="s">
        <v>100</v>
      </c>
      <c r="J3">
        <f>IF($K$3=0,0,MATCH($K$3,Aux!G25:G27,0))</f>
        <v>0</v>
      </c>
      <c r="K3">
        <f>Datos!$U$18</f>
        <v>0</v>
      </c>
      <c r="O3" s="6"/>
      <c r="Q3" s="14" t="s">
        <v>18</v>
      </c>
      <c r="R3" s="13" t="s">
        <v>8</v>
      </c>
      <c r="S3" s="13"/>
      <c r="T3" s="28" t="s">
        <v>20</v>
      </c>
      <c r="U3" s="13">
        <f>A_gas*(Grgas*Pr_gas)^n_gas</f>
        <v>0</v>
      </c>
      <c r="V3" s="13" t="s">
        <v>50</v>
      </c>
      <c r="W3" s="26"/>
    </row>
    <row r="4" spans="2:23" x14ac:dyDescent="0.25">
      <c r="B4" s="5"/>
      <c r="C4" t="s">
        <v>91</v>
      </c>
      <c r="D4">
        <f>Datos!Q4/1000</f>
        <v>0</v>
      </c>
      <c r="E4" t="s">
        <v>30</v>
      </c>
      <c r="F4" s="70" t="s">
        <v>206</v>
      </c>
      <c r="G4" t="s">
        <v>1</v>
      </c>
      <c r="I4" s="5"/>
      <c r="J4" s="10" t="s">
        <v>71</v>
      </c>
      <c r="K4" s="10" t="s">
        <v>54</v>
      </c>
      <c r="L4" t="s">
        <v>113</v>
      </c>
      <c r="M4" s="10" t="s">
        <v>34</v>
      </c>
      <c r="O4" s="6"/>
      <c r="Q4" s="15" t="s">
        <v>27</v>
      </c>
      <c r="R4" s="13">
        <f>INDEX(propiedades_gases_EN673[],MATCH($R$3&amp;" 10",propiedades_gases_EN673[llave],0),4)</f>
        <v>1.232</v>
      </c>
      <c r="S4" s="13" t="s">
        <v>31</v>
      </c>
      <c r="T4" s="13" t="s">
        <v>25</v>
      </c>
      <c r="U4" s="13">
        <f>(9.81*J6^3*ΔT_gas_defecto*ρgas^2)/(Tm_gas_defecto*μgas^2)</f>
        <v>0</v>
      </c>
      <c r="V4" s="13" t="s">
        <v>51</v>
      </c>
      <c r="W4" s="26"/>
    </row>
    <row r="5" spans="2:23" x14ac:dyDescent="0.25">
      <c r="B5" s="5"/>
      <c r="C5" t="s">
        <v>167</v>
      </c>
      <c r="D5" t="str">
        <f>IF(D3*D4=0,"",D3*D4)</f>
        <v/>
      </c>
      <c r="E5" t="s">
        <v>126</v>
      </c>
      <c r="F5" s="71">
        <v>1</v>
      </c>
      <c r="I5" s="5" t="str">
        <f>IF(tipo_vidriado&gt;1,"Vidrio 1","Vidrio")</f>
        <v>Vidrio</v>
      </c>
      <c r="J5" s="10">
        <f>Datos!$T$20/1000</f>
        <v>0</v>
      </c>
      <c r="K5">
        <v>1</v>
      </c>
      <c r="L5" t="e">
        <f>IF(J5=0,NA(),J5/K5)</f>
        <v>#N/A</v>
      </c>
      <c r="M5">
        <f>ε_vidrio_defecto</f>
        <v>0.83699999999999997</v>
      </c>
      <c r="N5" t="e">
        <f>MATCH(O5,Aux!$G$31:$G$35,0)</f>
        <v>#N/A</v>
      </c>
      <c r="O5" s="6">
        <f>Datos!X20</f>
        <v>0</v>
      </c>
      <c r="Q5" s="15" t="s">
        <v>49</v>
      </c>
      <c r="R5" s="13">
        <f>INDEX(propiedades_gases_EN673[],MATCH($R$3&amp;" 10",propiedades_gases_EN673[llave],0),5)</f>
        <v>1.7609999999999999E-5</v>
      </c>
      <c r="S5" s="13" t="s">
        <v>236</v>
      </c>
      <c r="T5" s="13" t="s">
        <v>26</v>
      </c>
      <c r="U5" s="13">
        <f>μgas*cgas/λgas</f>
        <v>0.71117307692307696</v>
      </c>
      <c r="V5" s="13" t="s">
        <v>52</v>
      </c>
      <c r="W5" s="26"/>
    </row>
    <row r="6" spans="2:23" x14ac:dyDescent="0.25">
      <c r="C6" t="s">
        <v>264</v>
      </c>
      <c r="D6" t="str">
        <f>IF(ISBLANK(Datos!$J$8),"",Datos!$J$8)</f>
        <v/>
      </c>
      <c r="E6" t="s">
        <v>126</v>
      </c>
      <c r="F6">
        <v>2</v>
      </c>
      <c r="G6" t="e">
        <f>(alto-4*alto_marco_usuario)*(alfa*ancho-3*alto_marco_usuario)+(alto-2*alto_marco_usuario)*((1-alfa)*ancho-3*alto_marco_usuario)</f>
        <v>#VALUE!</v>
      </c>
      <c r="I6" s="5" t="s">
        <v>23</v>
      </c>
      <c r="J6" s="2">
        <f>Datos!$T$21/1000</f>
        <v>0</v>
      </c>
      <c r="L6" t="e">
        <f>IF(J6=0,NA(),VLOOKUP(IF(Cálculos!J6*1000&lt;6,6,Cálculos!J6*1000),Resistencia_aire_no_ventilado[],IF((N5&gt;1)+(N7&gt;1),7-MAX(N5,N7),6),1))</f>
        <v>#N/A</v>
      </c>
      <c r="M6" t="str">
        <f>IF(tipo_vidriado&lt;3,"Espaciador","Espaciador 1")</f>
        <v>Espaciador</v>
      </c>
      <c r="N6" t="e">
        <f>MATCH(O6,Aux!$G$38:$G$39,0)</f>
        <v>#N/A</v>
      </c>
      <c r="O6" s="6">
        <f>Datos!X21</f>
        <v>0</v>
      </c>
      <c r="Q6" s="15" t="s">
        <v>22</v>
      </c>
      <c r="R6" s="13">
        <f>INDEX(propiedades_gases_EN673[],MATCH($R$3&amp;" 10",propiedades_gases_EN673[llave],0),6)</f>
        <v>2.496E-2</v>
      </c>
      <c r="S6" s="13" t="s">
        <v>235</v>
      </c>
      <c r="T6" s="13" t="s">
        <v>19</v>
      </c>
      <c r="U6" s="13" t="e">
        <f>Nu_gas*λgas/J6</f>
        <v>#DIV/0!</v>
      </c>
      <c r="V6" s="13" t="s">
        <v>120</v>
      </c>
      <c r="W6" s="26"/>
    </row>
    <row r="7" spans="2:23" x14ac:dyDescent="0.25">
      <c r="B7" s="5"/>
      <c r="C7" t="s">
        <v>90</v>
      </c>
      <c r="D7" t="str">
        <f>IF(ISBLANK(Datos!$T$8),"",Datos!$T$8)</f>
        <v/>
      </c>
      <c r="F7" s="71">
        <v>3</v>
      </c>
      <c r="G7" t="e">
        <f>(alfa*ancho-4*alto_marco_usuario)*(alto-4*alto_marco_usuario)+((1-alfa)*ancho-2*alto_marco_usuario)*(alto-2*alto_marco_usuario)</f>
        <v>#VALUE!</v>
      </c>
      <c r="I7" s="5" t="s">
        <v>7</v>
      </c>
      <c r="J7" s="10">
        <f>Datos!$T$22/1000</f>
        <v>0</v>
      </c>
      <c r="K7">
        <v>1</v>
      </c>
      <c r="L7" t="e">
        <f>IF(J7=0,NA(),J7/K7)</f>
        <v>#N/A</v>
      </c>
      <c r="M7">
        <f>ε_vidrio_defecto</f>
        <v>0.83699999999999997</v>
      </c>
      <c r="N7" t="e">
        <f>MATCH(O7,Aux!$G$31:$G$35,0)</f>
        <v>#N/A</v>
      </c>
      <c r="O7" s="6">
        <f>Datos!X22</f>
        <v>0</v>
      </c>
      <c r="Q7" s="14" t="s">
        <v>28</v>
      </c>
      <c r="R7" s="13">
        <f>INDEX(propiedades_gases_EN673[],MATCH($R$3&amp;" 10",propiedades_gases_EN673[llave],0),7)</f>
        <v>1008</v>
      </c>
      <c r="S7" s="13" t="s">
        <v>234</v>
      </c>
      <c r="T7" s="13" t="s">
        <v>232</v>
      </c>
      <c r="U7" s="13">
        <f>4*σ*((1/M5+1/M7-1)^-1)*Tm_gas_defecto^3</f>
        <v>3.6995431749864141</v>
      </c>
      <c r="V7" s="13" t="s">
        <v>120</v>
      </c>
      <c r="W7" s="26"/>
    </row>
    <row r="8" spans="2:23" x14ac:dyDescent="0.25">
      <c r="C8" t="s">
        <v>265</v>
      </c>
      <c r="D8" t="str">
        <f>IF(ISBLANK(Datos!$AC$8),"",Datos!$AC$8/1000)</f>
        <v/>
      </c>
      <c r="E8" t="s">
        <v>30</v>
      </c>
      <c r="F8">
        <v>4</v>
      </c>
      <c r="G8" t="e">
        <f>(ancho-4*alto_marco_usuario)*(alfa*alto-3*alto_marco_usuario)+(ancho-2*alto_marco_usuario)*((1-alfa)*alto-3*alto_marco_usuario)</f>
        <v>#VALUE!</v>
      </c>
      <c r="I8" s="5" t="s">
        <v>23</v>
      </c>
      <c r="J8">
        <f>Datos!$T$23/1000</f>
        <v>0</v>
      </c>
      <c r="L8" s="13"/>
      <c r="M8" t="s">
        <v>6</v>
      </c>
      <c r="N8">
        <v>1</v>
      </c>
      <c r="O8" s="6" t="e">
        <f>INDEX(Aux!$G$38:$G$39,$N$6)</f>
        <v>#N/A</v>
      </c>
      <c r="Q8" s="14"/>
      <c r="R8" s="13"/>
      <c r="S8" s="13"/>
      <c r="T8" s="13" t="s">
        <v>233</v>
      </c>
      <c r="U8" s="13" t="e">
        <f>U6+U7</f>
        <v>#DIV/0!</v>
      </c>
      <c r="V8" s="13" t="s">
        <v>120</v>
      </c>
      <c r="W8" s="26"/>
    </row>
    <row r="9" spans="2:23" ht="15.75" thickBot="1" x14ac:dyDescent="0.3">
      <c r="B9" s="5">
        <v>1</v>
      </c>
      <c r="C9" t="s">
        <v>137</v>
      </c>
      <c r="F9" s="71">
        <v>5</v>
      </c>
      <c r="G9" t="e">
        <f>(alfa*ancho-4*alto_marco_usuario)*(alto-4*alto_marco_usuario)+((1-alfa)*ancho-2*alto_marco_usuario)*(alto-2*alto_marco_usuario)</f>
        <v>#VALUE!</v>
      </c>
      <c r="I9" s="5" t="s">
        <v>114</v>
      </c>
      <c r="J9" s="10">
        <f>Datos!$T$24/1000</f>
        <v>0</v>
      </c>
      <c r="K9">
        <v>1</v>
      </c>
      <c r="L9" t="e">
        <f>IF(J9=0,NA(),J9/K9)</f>
        <v>#N/A</v>
      </c>
      <c r="N9" t="e">
        <f>MATCH(O9,Aux!$G$31:$G$35,0)</f>
        <v>#N/A</v>
      </c>
      <c r="O9" s="45">
        <f>Datos!X24</f>
        <v>0</v>
      </c>
      <c r="Q9" s="17"/>
      <c r="R9" s="18"/>
      <c r="S9" s="18"/>
      <c r="T9" s="18"/>
      <c r="U9" s="18"/>
      <c r="V9" s="18"/>
      <c r="W9" s="27"/>
    </row>
    <row r="10" spans="2:23" x14ac:dyDescent="0.25">
      <c r="B10" s="5"/>
      <c r="C10" t="s">
        <v>3</v>
      </c>
      <c r="D10" t="str">
        <f>IFERROR(CHOOSE(opción_sup_Ventana,Aw-Ag,(1-fm)*Aw,Aw-Ag),"")</f>
        <v/>
      </c>
      <c r="E10" t="s">
        <v>126</v>
      </c>
      <c r="F10">
        <v>6</v>
      </c>
      <c r="I10" s="5"/>
      <c r="J10" s="10"/>
      <c r="O10" s="6"/>
      <c r="Q10" s="13"/>
      <c r="R10" s="13"/>
      <c r="S10" s="13"/>
      <c r="T10" s="13"/>
      <c r="U10" s="13"/>
      <c r="V10" s="13"/>
      <c r="W10" s="13"/>
    </row>
    <row r="11" spans="2:23" x14ac:dyDescent="0.25">
      <c r="B11" s="5"/>
      <c r="C11" t="s">
        <v>1</v>
      </c>
      <c r="D11" t="str" cm="1">
        <f t="array" ref="D11">IFERROR(CHOOSE(opción_sup_Ventana,Ag_usuario,fm*Aw,INDEX(Ag_alto_marco_usuario[Ag],caso)),"")</f>
        <v/>
      </c>
      <c r="E11" t="s">
        <v>126</v>
      </c>
      <c r="F11" s="62">
        <v>7</v>
      </c>
      <c r="I11" s="5"/>
      <c r="J11" s="10"/>
      <c r="O11" s="6"/>
      <c r="Q11" s="13"/>
      <c r="R11" s="13"/>
      <c r="S11" s="13"/>
      <c r="T11" s="13"/>
      <c r="U11" s="13"/>
      <c r="V11" s="13"/>
      <c r="W11" s="13"/>
    </row>
    <row r="12" spans="2:23" ht="15.75" thickBot="1" x14ac:dyDescent="0.3">
      <c r="B12" s="7"/>
      <c r="C12" s="8" t="s">
        <v>228</v>
      </c>
      <c r="D12" s="47" t="str">
        <f>IFERROR(ROUND(INDEX(casos_ventana[junta apertura],caso),1),"")</f>
        <v/>
      </c>
      <c r="E12" s="8" t="s">
        <v>30</v>
      </c>
      <c r="F12" s="8"/>
      <c r="G12" s="9"/>
      <c r="I12" s="7"/>
      <c r="J12" s="8"/>
      <c r="K12" s="8"/>
      <c r="L12" s="8"/>
      <c r="M12" s="8"/>
      <c r="N12" s="8"/>
      <c r="O12" s="9"/>
    </row>
    <row r="13" spans="2:23" ht="15.75" thickBot="1" x14ac:dyDescent="0.3"/>
    <row r="14" spans="2:23" x14ac:dyDescent="0.25">
      <c r="B14" s="31" t="s">
        <v>75</v>
      </c>
      <c r="C14" s="34" t="s">
        <v>4</v>
      </c>
      <c r="D14" s="34" t="str">
        <f>IFERROR(IF(ISNA(Uf_usuario),Uf_calc,Uf_usuario),"")</f>
        <v/>
      </c>
      <c r="E14" s="34" t="s">
        <v>175</v>
      </c>
      <c r="F14" s="34"/>
      <c r="G14" s="35"/>
      <c r="I14" s="31" t="s">
        <v>172</v>
      </c>
      <c r="J14" s="34" t="s">
        <v>219</v>
      </c>
      <c r="K14" s="34" t="str">
        <f>IFERROR(IF(ISNUMBER(Ψg_usuario),Ψg_usuario,Ψg_calc),"")</f>
        <v/>
      </c>
      <c r="L14" s="34" t="s">
        <v>250</v>
      </c>
      <c r="M14" s="34"/>
      <c r="N14" s="32"/>
      <c r="O14" s="33"/>
    </row>
    <row r="15" spans="2:23" x14ac:dyDescent="0.25">
      <c r="B15" s="59" t="s">
        <v>246</v>
      </c>
      <c r="C15" s="60" t="e">
        <f>IF(ISBLANK(Datos!$Z$26),NA(),Datos!$Z$26)</f>
        <v>#N/A</v>
      </c>
      <c r="D15" t="s">
        <v>120</v>
      </c>
      <c r="E15" s="57"/>
      <c r="F15" s="57"/>
      <c r="G15" s="58"/>
      <c r="I15" s="61" t="s">
        <v>247</v>
      </c>
      <c r="J15" s="73" t="e">
        <f>IF(ISBLANK(Datos!Z27),NA(),Datos!Z27)</f>
        <v>#N/A</v>
      </c>
      <c r="K15" t="s">
        <v>250</v>
      </c>
      <c r="O15" s="6"/>
    </row>
    <row r="16" spans="2:23" x14ac:dyDescent="0.25">
      <c r="B16" s="5" t="s">
        <v>101</v>
      </c>
      <c r="C16">
        <f>IF($D$16=0,0,MATCH($D$16,Aux!C26:C29,0))</f>
        <v>0</v>
      </c>
      <c r="D16">
        <f>Datos!$H$18</f>
        <v>0</v>
      </c>
      <c r="G16" s="6"/>
      <c r="I16" s="61" t="s">
        <v>249</v>
      </c>
      <c r="J16" s="11" t="str">
        <f>IFERROR(IF(tipo_vidriado=0,"",IF(tipo_vidriado&lt;2,0,CHOOSE(tipo_espaciador_1,INDEX(PSIg_por_defecto[],MATCH($D$16,PSIg_por_defecto[tipo marco],0),2),INDEX(PSIg_mejorado[],MATCH($D$16,PSIg_mejorado[tipo marco],0),2)))),"")</f>
        <v/>
      </c>
      <c r="K16" t="s">
        <v>250</v>
      </c>
      <c r="O16" s="6"/>
    </row>
    <row r="17" spans="2:15" x14ac:dyDescent="0.25">
      <c r="B17" s="5" t="s">
        <v>111</v>
      </c>
      <c r="C17">
        <f>IFERROR(VLOOKUP($D$16,Aux!$C$26:$E$29,2),0)</f>
        <v>0</v>
      </c>
      <c r="D17" t="e">
        <f>VLOOKUP($D$16,Aux!$C$26:$E$29,3)</f>
        <v>#N/A</v>
      </c>
      <c r="G17" s="6"/>
      <c r="I17" s="5"/>
      <c r="O17" s="6" t="s">
        <v>218</v>
      </c>
    </row>
    <row r="18" spans="2:15" x14ac:dyDescent="0.25">
      <c r="B18" s="5"/>
      <c r="G18" s="6"/>
      <c r="I18" s="5" t="s">
        <v>205</v>
      </c>
      <c r="J18">
        <f>IFERROR(MATCH(Cálculos!$K$18,Aux!$H$78:$H$81,0),1)</f>
        <v>1</v>
      </c>
      <c r="K18">
        <f>Datos!H13</f>
        <v>0</v>
      </c>
      <c r="N18">
        <v>1</v>
      </c>
      <c r="O18" s="6" t="e" cm="1">
        <f t="array" ref="O18">INDEX(Aux!$H$78:$K$81,MATCH($K$18,Aux!$H$78:$H$81,0),N18+1)</f>
        <v>#N/A</v>
      </c>
    </row>
    <row r="19" spans="2:15" x14ac:dyDescent="0.25">
      <c r="B19" s="5" t="s">
        <v>76</v>
      </c>
      <c r="G19" s="6"/>
      <c r="I19" s="5" t="s">
        <v>102</v>
      </c>
      <c r="J19">
        <f>IFERROR(MATCH(Cálculos!$K$19,Aux!G42:G45,0),1)</f>
        <v>1</v>
      </c>
      <c r="K19">
        <f>Datos!H14</f>
        <v>0</v>
      </c>
      <c r="N19">
        <v>2</v>
      </c>
      <c r="O19" s="6" t="e" cm="1">
        <f t="array" ref="O19">INDEX(Aux!$H$78:$K$81,MATCH($K$18,Aux!$H$78:$H$81,0),N19+1)</f>
        <v>#N/A</v>
      </c>
    </row>
    <row r="20" spans="2:15" x14ac:dyDescent="0.25">
      <c r="B20" s="5" t="s">
        <v>122</v>
      </c>
      <c r="G20" s="6"/>
      <c r="I20" s="5" t="s">
        <v>206</v>
      </c>
      <c r="J20">
        <f>IF(Configuración=1,1,IF((Configuración=2)*(tipo_cierre=1),2,IF((Configuración=2)*(tipo_cierre&gt;2),3,IF((Configuración=3)*(tipo_cierre=2),4,IF((Configuración=3)*(tipo_cierre&gt;2),5,IF((Configuración=4)*(tipo_cierre=1),6,IF((Configuración=4)*(tipo_cierre&gt;1),7,"")))))))</f>
        <v>1</v>
      </c>
      <c r="N20">
        <v>3</v>
      </c>
      <c r="O20" s="6" t="e" cm="1">
        <f t="array" ref="O20">INDEX(Aux!$H$78:$K$81,MATCH($K$18,Aux!$H$78:$H$81,0),N20+1)</f>
        <v>#N/A</v>
      </c>
    </row>
    <row r="21" spans="2:15" x14ac:dyDescent="0.25">
      <c r="B21" s="5" t="s">
        <v>71</v>
      </c>
      <c r="C21">
        <f>IF(tipo_categoría_marco=1,IF(ISBLANK(Datos!$J$19),E21,Datos!$J$19),E21)</f>
        <v>50</v>
      </c>
      <c r="E21">
        <v>50</v>
      </c>
      <c r="G21" s="6"/>
      <c r="I21" s="5" t="s">
        <v>207</v>
      </c>
      <c r="J21">
        <f>IF(ISBLANK(Datos!$AC$14),proporción_defecto,Datos!$AC$14)</f>
        <v>0.5</v>
      </c>
      <c r="L21" s="2"/>
      <c r="M21" s="2"/>
      <c r="N21">
        <v>4</v>
      </c>
      <c r="O21" s="6" t="e" cm="1">
        <f t="array" ref="O21">INDEX(Aux!$H$78:$K$81,MATCH($K$18,Aux!$H$78:$H$81,0),N21+1)</f>
        <v>#N/A</v>
      </c>
    </row>
    <row r="22" spans="2:15" x14ac:dyDescent="0.25">
      <c r="B22" s="5" t="s">
        <v>194</v>
      </c>
      <c r="C22">
        <f>ROUND(CHOOSE(MATCH($B$20,Aux!$B$33:$B$34,0),0.00004*df^2-0.0189*df+3.2333,0.00004*df^2-0.0165*df+2.7605),1)</f>
        <v>2.4</v>
      </c>
      <c r="D22" t="s">
        <v>120</v>
      </c>
      <c r="G22" s="6"/>
      <c r="I22" s="5" t="s">
        <v>103</v>
      </c>
      <c r="J22" s="2" t="e">
        <f>INDEX(casos_ventana[w],caso)</f>
        <v>#VALUE!</v>
      </c>
      <c r="K22" t="s">
        <v>104</v>
      </c>
      <c r="L22" s="2" t="e">
        <f>INDEX(casos_ventana[h],caso)</f>
        <v>#VALUE!</v>
      </c>
      <c r="M22" s="2"/>
      <c r="N22">
        <v>5</v>
      </c>
      <c r="O22" s="6" t="e" cm="1">
        <f t="array" ref="O22">INDEX(Aux!$H$78:$K$81,MATCH($K$18,Aux!$H$78:$H$81,0),N22+1)</f>
        <v>#N/A</v>
      </c>
    </row>
    <row r="23" spans="2:15" x14ac:dyDescent="0.25">
      <c r="B23" s="5"/>
      <c r="G23" s="6"/>
      <c r="I23" s="5" t="s">
        <v>158</v>
      </c>
      <c r="J23" s="2" t="str">
        <f>IFERROR(INDEX(casos_ventana[lg calc],caso),"")</f>
        <v/>
      </c>
      <c r="K23" t="s">
        <v>5</v>
      </c>
      <c r="L23" s="2" t="str">
        <f>IFERROR(IF(ISBLANK(Datos!Z28),lg_calc,Datos!$Z$28),"")</f>
        <v/>
      </c>
      <c r="M23" s="2"/>
      <c r="O23" s="6"/>
    </row>
    <row r="24" spans="2:15" x14ac:dyDescent="0.25">
      <c r="B24" s="5" t="s">
        <v>85</v>
      </c>
      <c r="G24" s="6"/>
      <c r="I24" s="5"/>
      <c r="O24" s="6"/>
    </row>
    <row r="25" spans="2:15" x14ac:dyDescent="0.25">
      <c r="B25" s="5" t="s">
        <v>86</v>
      </c>
      <c r="C25">
        <f>IF(ISBLANK(Datos!$J$22),Aux!$N$29,Datos!$J$22)</f>
        <v>0.85</v>
      </c>
      <c r="E25">
        <v>0.85</v>
      </c>
      <c r="G25" s="6"/>
      <c r="I25" s="44" t="s">
        <v>206</v>
      </c>
      <c r="J25" s="74" t="s">
        <v>71</v>
      </c>
      <c r="K25" s="74" t="s">
        <v>215</v>
      </c>
      <c r="L25" s="74" t="s">
        <v>216</v>
      </c>
      <c r="M25" s="74" t="s">
        <v>158</v>
      </c>
      <c r="N25" s="74" t="s">
        <v>217</v>
      </c>
      <c r="O25" s="45" t="s">
        <v>220</v>
      </c>
    </row>
    <row r="26" spans="2:15" x14ac:dyDescent="0.25">
      <c r="B26" s="5" t="s">
        <v>87</v>
      </c>
      <c r="C26">
        <f>IF(ISBLANK(Datos!$J$23),Aux!$O$29,Datos!$J$23)</f>
        <v>0.85</v>
      </c>
      <c r="E26">
        <v>0.85</v>
      </c>
      <c r="G26" s="6"/>
      <c r="I26" s="5">
        <v>1</v>
      </c>
      <c r="J26" s="75" t="e">
        <f>(ancho+alto)/8-SQRT((ancho+alto)^2-4*Af)/8</f>
        <v>#VALUE!</v>
      </c>
      <c r="K26" s="75" t="e">
        <f>ancho-4*casos_ventana[[#This Row],[e]]</f>
        <v>#VALUE!</v>
      </c>
      <c r="L26" s="75" t="e">
        <f>alto-4*casos_ventana[[#This Row],[e]]</f>
        <v>#VALUE!</v>
      </c>
      <c r="M26" s="75" t="e">
        <f>2*casos_ventana[[#This Row],[w]]+2*casos_ventana[[#This Row],[h]]</f>
        <v>#VALUE!</v>
      </c>
      <c r="N26" s="75" t="e">
        <f>2*(casos_ventana[[#This Row],[w]]+casos_ventana[[#This Row],[h]]+4*casos_ventana[[#This Row],[e]])</f>
        <v>#VALUE!</v>
      </c>
      <c r="O26" s="46" t="s">
        <v>227</v>
      </c>
    </row>
    <row r="27" spans="2:15" x14ac:dyDescent="0.25">
      <c r="B27" s="5" t="s">
        <v>117</v>
      </c>
      <c r="C27">
        <f>IF(tipo_categoría_marco=2,IF(ISBLANK(Datos!$J$19),E27,Datos!$J$19),E27)</f>
        <v>10</v>
      </c>
      <c r="D27" t="s">
        <v>72</v>
      </c>
      <c r="E27">
        <v>10</v>
      </c>
      <c r="G27" s="6"/>
      <c r="I27" s="5">
        <v>2</v>
      </c>
      <c r="J27" s="75" t="e">
        <f>IF((opción_sup_Ventana=3)*(NOT(ISNA(alto_marco_usuario)))*(caso=casos_ventana[[#This Row],[caso]]),alto_marco_usuario,(ancho*(alfa+1)+2*alto)/14-SQRT((ancho*(alfa+1)+2*alto)^2-14*Af)/14)</f>
        <v>#VALUE!</v>
      </c>
      <c r="K27" s="75" t="e">
        <f>ancho*alfa-3*casos_ventana[[#This Row],[e]]</f>
        <v>#VALUE!</v>
      </c>
      <c r="L27" s="75" t="e">
        <f>alto-4*casos_ventana[[#This Row],[e]]</f>
        <v>#VALUE!</v>
      </c>
      <c r="M27" s="75" t="e">
        <f>2*(casos_ventana[[#This Row],[w]]+casos_ventana[[#This Row],[h]])+2*(casos_ventana[[#This Row],[w]]+casos_ventana[[#This Row],[h]]+4*casos_ventana[[#This Row],[e]])</f>
        <v>#VALUE!</v>
      </c>
      <c r="N27" s="75" t="e">
        <f>2*(casos_ventana[[#This Row],[w]]+casos_ventana[[#This Row],[h]]+4*casos_ventana[[#This Row],[e]])</f>
        <v>#VALUE!</v>
      </c>
      <c r="O27" s="46" t="s">
        <v>226</v>
      </c>
    </row>
    <row r="28" spans="2:15" x14ac:dyDescent="0.25">
      <c r="B28" s="5" t="s">
        <v>88</v>
      </c>
      <c r="C28">
        <f>IF((tipo_categoría_marco=2)*(tipo_marco=2),-0.00000007*d^4+0.00001*d^3-0.0006*d^2+0.0178*d+0.0000000000006,0)</f>
        <v>0</v>
      </c>
      <c r="D28" t="s">
        <v>119</v>
      </c>
      <c r="G28" s="6"/>
      <c r="I28" s="5">
        <v>3</v>
      </c>
      <c r="J28" s="75" t="e">
        <f>IF((opción_sup_Ventana=3)*(NOT(ISNA(alto_marco_usuario)))*(caso=casos_ventana[[#This Row],[caso]]),alto_marco_usuario,(ancho*(alfa+1)+3*alto)/20-SQRT((ancho*(alfa+1)+3*alto)^2-20*Af)/20)</f>
        <v>#VALUE!</v>
      </c>
      <c r="K28" s="75" t="e">
        <f>ancho*alfa-4*casos_ventana[[#This Row],[e]]</f>
        <v>#VALUE!</v>
      </c>
      <c r="L28" s="75" t="e">
        <f>alto-4*casos_ventana[[#This Row],[e]]</f>
        <v>#VALUE!</v>
      </c>
      <c r="M28" s="75" t="e">
        <f>2*(casos_ventana[[#This Row],[w]]+casos_ventana[[#This Row],[h]])+2*(casos_ventana[[#This Row],[w]]+4*casos_ventana[[#This Row],[e]]+casos_ventana[[#This Row],[h]])</f>
        <v>#VALUE!</v>
      </c>
      <c r="N28" s="75" t="e">
        <f>2*(casos_ventana[[#This Row],[w]]+casos_ventana[[#This Row],[h]]+4*casos_ventana[[#This Row],[e]])</f>
        <v>#VALUE!</v>
      </c>
      <c r="O28" s="46" t="s">
        <v>221</v>
      </c>
    </row>
    <row r="29" spans="2:15" x14ac:dyDescent="0.25">
      <c r="B29" s="5" t="s">
        <v>4</v>
      </c>
      <c r="C29">
        <f>IF((tipo_marco=3)*$E$29,Uf_Metal_sin_RPT,ROUND(1/(Rsi*C25+Rf_metálico+Rse*C26),1))</f>
        <v>6.9</v>
      </c>
      <c r="D29" t="s">
        <v>120</v>
      </c>
      <c r="E29" t="b">
        <v>0</v>
      </c>
      <c r="G29" s="6"/>
      <c r="I29" s="5">
        <v>4</v>
      </c>
      <c r="J29" s="75" t="e">
        <f>IF((opción_sup_Ventana=3)*(NOT(ISNA(alto_marco_usuario)))*(caso=casos_ventana[[#This Row],[caso]]),alto_marco_usuario,(alto*(alfa+1)+2*ancho)/14-SQRT((alto*(alfa+1)+2*ancho)^2-14*Af)/14)</f>
        <v>#VALUE!</v>
      </c>
      <c r="K29" s="75" t="e">
        <f>ancho-4*casos_ventana[[#This Row],[e]]</f>
        <v>#VALUE!</v>
      </c>
      <c r="L29" s="75" t="e">
        <f>alto*alfa-3*casos_ventana[[#This Row],[e]]</f>
        <v>#VALUE!</v>
      </c>
      <c r="M29" s="75" t="e">
        <f>2*(casos_ventana[[#This Row],[w]]+casos_ventana[[#This Row],[h]])+2*(casos_ventana[[#This Row],[w]]+4*casos_ventana[[#This Row],[e]]+casos_ventana[[#This Row],[h]])</f>
        <v>#VALUE!</v>
      </c>
      <c r="N29" s="75" t="e">
        <f>2*(casos_ventana[[#This Row],[w]]+casos_ventana[[#This Row],[h]]+4*casos_ventana[[#This Row],[e]])</f>
        <v>#VALUE!</v>
      </c>
      <c r="O29" s="46" t="s">
        <v>222</v>
      </c>
    </row>
    <row r="30" spans="2:15" x14ac:dyDescent="0.25">
      <c r="B30" s="5"/>
      <c r="G30" s="6"/>
      <c r="I30" s="5">
        <v>5</v>
      </c>
      <c r="J30" s="75" t="e">
        <f>IF((opción_sup_Ventana=3)*(NOT(ISNA(alto_marco_usuario)))*(caso=casos_ventana[[#This Row],[caso]]),alto_marco_usuario,(alto*(alfa+1)+3*ancho)/20-SQRT((alto*(alfa+1)+3*ancho)^2-20*Af)/20)</f>
        <v>#VALUE!</v>
      </c>
      <c r="K30" s="75" t="e">
        <f>ancho-4*casos_ventana[[#This Row],[e]]</f>
        <v>#VALUE!</v>
      </c>
      <c r="L30" s="75" t="e">
        <f>alto*alfa-4*casos_ventana[[#This Row],[e]]</f>
        <v>#VALUE!</v>
      </c>
      <c r="M30" s="75" t="e">
        <f>2*(casos_ventana[[#This Row],[w]]+casos_ventana[[#This Row],[h]])+2*(casos_ventana[[#This Row],[w]]+4*casos_ventana[[#This Row],[e]]+casos_ventana[[#This Row],[h]])</f>
        <v>#VALUE!</v>
      </c>
      <c r="N30" s="75" t="e">
        <f>2*(casos_ventana[[#This Row],[w]]+casos_ventana[[#This Row],[h]]+4*casos_ventana[[#This Row],[e]])</f>
        <v>#VALUE!</v>
      </c>
      <c r="O30" s="46" t="s">
        <v>223</v>
      </c>
    </row>
    <row r="31" spans="2:15" x14ac:dyDescent="0.25">
      <c r="B31" s="5" t="s">
        <v>89</v>
      </c>
      <c r="G31" s="6"/>
      <c r="I31" s="5">
        <v>6</v>
      </c>
      <c r="J31" s="75" t="e">
        <f>(4*ancho+5*alto)/40-SQRT((4*ancho+5*alto)^2-80*Af)/40</f>
        <v>#VALUE!</v>
      </c>
      <c r="K31" s="75" t="e">
        <f>ancho-5*casos_ventana[[#This Row],[e]]</f>
        <v>#VALUE!</v>
      </c>
      <c r="L31" s="75" t="e">
        <f>alto-4*casos_ventana[[#This Row],[e]]</f>
        <v>#VALUE!</v>
      </c>
      <c r="M31" s="75" t="e">
        <f>2*casos_ventana[[#This Row],[w]]+3*casos_ventana[[#This Row],[h]]</f>
        <v>#VALUE!</v>
      </c>
      <c r="N31" s="75" t="e">
        <f>2*(casos_ventana[[#This Row],[w]]+casos_ventana[[#This Row],[h]]+5*casos_ventana[[#This Row],[e]])+casos_ventana[[#This Row],[h]]</f>
        <v>#VALUE!</v>
      </c>
      <c r="O31" s="46" t="s">
        <v>224</v>
      </c>
    </row>
    <row r="32" spans="2:15" x14ac:dyDescent="0.25">
      <c r="B32" s="5" t="s">
        <v>115</v>
      </c>
      <c r="C32" t="s">
        <v>67</v>
      </c>
      <c r="G32" s="6"/>
      <c r="I32" s="5">
        <v>7</v>
      </c>
      <c r="J32" s="75" t="e">
        <f>(ancho+2*alto)/16-SQRT((ancho+2*alto)^2-8*Af)/16</f>
        <v>#VALUE!</v>
      </c>
      <c r="K32" s="75" t="e">
        <f>ancho-8*casos_ventana[[#This Row],[e]]</f>
        <v>#VALUE!</v>
      </c>
      <c r="L32" s="75" t="e">
        <f>alto-4*casos_ventana[[#This Row],[e]]</f>
        <v>#VALUE!</v>
      </c>
      <c r="M32" s="75" t="e">
        <f>2*casos_ventana[[#This Row],[w]]+4*casos_ventana[[#This Row],[h]]</f>
        <v>#VALUE!</v>
      </c>
      <c r="N32" s="75" t="e">
        <f>2*(casos_ventana[[#This Row],[w]]+2*casos_ventana[[#This Row],[e]])+4*(casos_ventana[[#This Row],[h]]+2*casos_ventana[[#This Row],[e]])</f>
        <v>#VALUE!</v>
      </c>
      <c r="O32" s="46" t="s">
        <v>225</v>
      </c>
    </row>
    <row r="33" spans="2:15" x14ac:dyDescent="0.25">
      <c r="B33" s="5" t="s">
        <v>4</v>
      </c>
      <c r="C33">
        <f>VLOOKUP(C32,Uf_plástico[],2,FALSE)</f>
        <v>2.2000000000000002</v>
      </c>
      <c r="D33" t="s">
        <v>120</v>
      </c>
      <c r="G33" s="6"/>
      <c r="I33" s="5"/>
      <c r="O33" s="6"/>
    </row>
    <row r="34" spans="2:15" x14ac:dyDescent="0.25">
      <c r="B34" s="5"/>
      <c r="G34" s="6"/>
      <c r="I34" s="5"/>
      <c r="O34" s="6"/>
    </row>
    <row r="35" spans="2:15" x14ac:dyDescent="0.25">
      <c r="B35" s="5" t="s">
        <v>171</v>
      </c>
      <c r="D35" t="str">
        <f>IFERROR(CHOOSE(tipo_marco,"Profundidad marco:","Distancia RPT:","",""),"")</f>
        <v/>
      </c>
      <c r="G35" s="6"/>
      <c r="I35" s="5"/>
      <c r="O35" s="6"/>
    </row>
    <row r="36" spans="2:15" ht="15.75" thickBot="1" x14ac:dyDescent="0.3">
      <c r="B36" s="59" t="s">
        <v>248</v>
      </c>
      <c r="C36" s="60" t="str">
        <f>IFERROR(CHOOSE(tipo_categoría_marco,C22,C29,C33),"")</f>
        <v/>
      </c>
      <c r="D36" t="s">
        <v>120</v>
      </c>
      <c r="G36" s="6"/>
      <c r="I36" s="7"/>
      <c r="J36" s="8"/>
      <c r="K36" s="8"/>
      <c r="L36" s="8"/>
      <c r="M36" s="8"/>
      <c r="N36" s="8"/>
      <c r="O36" s="9"/>
    </row>
    <row r="37" spans="2:15" ht="15.75" thickBot="1" x14ac:dyDescent="0.3">
      <c r="B37" s="7"/>
      <c r="C37" s="8"/>
      <c r="D37" s="8"/>
      <c r="E37" s="8"/>
      <c r="F37" s="8"/>
      <c r="G37" s="9"/>
    </row>
    <row r="38" spans="2:15" ht="15.75" thickBot="1" x14ac:dyDescent="0.3"/>
    <row r="39" spans="2:15" x14ac:dyDescent="0.25">
      <c r="I39" s="31" t="s">
        <v>152</v>
      </c>
      <c r="J39" s="32"/>
      <c r="K39" s="32"/>
      <c r="L39" s="32"/>
      <c r="M39" s="32"/>
      <c r="N39" s="32"/>
      <c r="O39" s="38"/>
    </row>
    <row r="40" spans="2:15" x14ac:dyDescent="0.25">
      <c r="I40" s="5"/>
      <c r="J40" t="s">
        <v>190</v>
      </c>
      <c r="K40" s="76" t="str">
        <f>IFERROR(ROUND((Ag*Ug+Af*Uf+lg*Ψg)/(Ag+Af),1),"")</f>
        <v/>
      </c>
      <c r="O40" s="6"/>
    </row>
    <row r="41" spans="2:15" ht="15" customHeight="1" x14ac:dyDescent="0.25">
      <c r="I41" s="5"/>
      <c r="J41" t="s">
        <v>0</v>
      </c>
      <c r="K41" s="77" t="str">
        <f>IFERROR(IF($N$41,Aux!$Q$29,ROUND((Ag*Ug+Af*Uf+lg*Ψg)/(Ag+Af),1)),"")</f>
        <v/>
      </c>
      <c r="L41" t="s">
        <v>120</v>
      </c>
      <c r="N41" t="e">
        <f>IF((ROUND((Ag*Ug+Af*Uf+lg*Ψg)/(Ag+Af),1)&gt;5.8),TRUE,FALSE)</f>
        <v>#VALUE!</v>
      </c>
      <c r="O41" s="6"/>
    </row>
    <row r="42" spans="2:15" x14ac:dyDescent="0.25">
      <c r="I42" s="5"/>
      <c r="J42" t="s">
        <v>170</v>
      </c>
      <c r="O42" s="6"/>
    </row>
    <row r="43" spans="2:15" x14ac:dyDescent="0.25">
      <c r="I43" s="5" t="s">
        <v>168</v>
      </c>
      <c r="J43">
        <f>IFERROR(ROUND((Uf*Af)/(Ag*Ug+Af*Uf+lg*Ψg),2),0)</f>
        <v>0</v>
      </c>
      <c r="O43" s="6"/>
    </row>
    <row r="44" spans="2:15" x14ac:dyDescent="0.25">
      <c r="I44" s="5" t="s">
        <v>169</v>
      </c>
      <c r="J44">
        <f>IFERROR(ROUND((Ug*Ag)/(Ag*Ug+Af*Uf+lg*Ψg),2),0)</f>
        <v>0</v>
      </c>
      <c r="O44" s="6"/>
    </row>
    <row r="45" spans="2:15" x14ac:dyDescent="0.25">
      <c r="I45" s="5" t="s">
        <v>6</v>
      </c>
      <c r="J45">
        <f>IFERROR(ROUND((Ψg*lg)/(Ag*Ug+Af*Uf+lg*Ψg),2),0)</f>
        <v>0</v>
      </c>
      <c r="O45" s="6"/>
    </row>
    <row r="46" spans="2:15" ht="15.75" thickBot="1" x14ac:dyDescent="0.3">
      <c r="I46" s="7"/>
      <c r="J46" s="8"/>
      <c r="K46" s="8"/>
      <c r="L46" s="8"/>
      <c r="M46" s="8"/>
      <c r="N46" s="8"/>
      <c r="O46" s="9"/>
    </row>
    <row r="48" spans="2:15" x14ac:dyDescent="0.25">
      <c r="I48" t="str">
        <f>IFERROR("- "&amp;IF(ISNA(Uf_usuario),txt_transmitancia_marco,txt_transmitancia_marco_usuario)&amp;IF($N$41,CHAR(10)&amp;"- "&amp;Aux!G63,"")&amp;CHAR(10)&amp;IF(tipo_vidriado&gt;1,"- "&amp;txt_R_cámara_aire,"")&amp;CHAR(10)&amp;IF(tipo_vidriado&gt;1,"- "&amp;IF(ISNA(Ψg_usuario),txt_transmitancia_marco_vidrio,txt_transmitancia_marco_vidrio_usuario),""),"")</f>
        <v/>
      </c>
    </row>
  </sheetData>
  <pageMargins left="0.7" right="0.7" top="0.75" bottom="0.75" header="0.3" footer="0.3"/>
  <pageSetup paperSize="9" orientation="portrait" r:id="rId1"/>
  <tableParts count="2">
    <tablePart r:id="rId2"/>
    <tablePart r:id="rId3"/>
  </tableParts>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00000000-0002-0000-0200-000000000000}">
          <x14:formula1>
            <xm:f>Aux!$B$33:$B$34</xm:f>
          </x14:formula1>
          <xm:sqref>B20</xm:sqref>
        </x14:dataValidation>
        <x14:dataValidation type="list" allowBlank="1" showInputMessage="1" showErrorMessage="1" xr:uid="{00000000-0002-0000-0200-000001000000}">
          <x14:formula1>
            <xm:f>Aux!$B$25:$B$29</xm:f>
          </x14:formula1>
          <xm:sqref>R3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
  <sheetViews>
    <sheetView workbookViewId="0"/>
  </sheetViews>
  <sheetFormatPr baseColWidth="10" defaultRowHeight="15" x14ac:dyDescent="0.2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B1:AK82"/>
  <sheetViews>
    <sheetView topLeftCell="D1" workbookViewId="0">
      <selection activeCell="G25" sqref="G25"/>
    </sheetView>
  </sheetViews>
  <sheetFormatPr baseColWidth="10" defaultRowHeight="15" x14ac:dyDescent="0.25"/>
  <cols>
    <col min="2" max="2" width="12.5703125" customWidth="1"/>
    <col min="3" max="3" width="19" customWidth="1"/>
    <col min="4" max="4" width="22.5703125" customWidth="1"/>
    <col min="5" max="5" width="20.7109375" customWidth="1"/>
    <col min="6" max="6" width="15.5703125" customWidth="1"/>
    <col min="7" max="7" width="16.7109375" customWidth="1"/>
    <col min="8" max="8" width="17" bestFit="1" customWidth="1"/>
  </cols>
  <sheetData>
    <row r="1" spans="2:13" x14ac:dyDescent="0.25">
      <c r="B1">
        <v>1</v>
      </c>
      <c r="C1">
        <v>2</v>
      </c>
      <c r="D1">
        <v>3</v>
      </c>
      <c r="E1">
        <v>4</v>
      </c>
      <c r="F1">
        <v>5</v>
      </c>
      <c r="G1">
        <v>6</v>
      </c>
      <c r="H1">
        <v>7</v>
      </c>
    </row>
    <row r="2" spans="2:13" x14ac:dyDescent="0.25">
      <c r="B2" t="s">
        <v>29</v>
      </c>
      <c r="C2" t="s">
        <v>18</v>
      </c>
      <c r="D2" t="s">
        <v>17</v>
      </c>
      <c r="E2" t="s">
        <v>13</v>
      </c>
      <c r="F2" t="s">
        <v>14</v>
      </c>
      <c r="G2" t="s">
        <v>15</v>
      </c>
      <c r="H2" t="s">
        <v>16</v>
      </c>
    </row>
    <row r="3" spans="2:13" x14ac:dyDescent="0.25">
      <c r="B3" s="3" t="str">
        <f>propiedades_gases_EN673[[#This Row],[gas]]&amp;" "&amp;propiedades_gases_EN673[[#This Row],[temperatura]]</f>
        <v>Aire -10</v>
      </c>
      <c r="C3" t="s">
        <v>8</v>
      </c>
      <c r="D3">
        <v>-10</v>
      </c>
      <c r="E3" s="2">
        <v>1.3260000000000001</v>
      </c>
      <c r="F3" s="3">
        <v>1.6609999999999999E-5</v>
      </c>
      <c r="G3" s="3">
        <v>2.3359999999999999E-2</v>
      </c>
      <c r="H3" s="3">
        <v>1008</v>
      </c>
    </row>
    <row r="4" spans="2:13" x14ac:dyDescent="0.25">
      <c r="B4" s="3" t="str">
        <f>propiedades_gases_EN673[[#This Row],[gas]]&amp;" "&amp;propiedades_gases_EN673[[#This Row],[temperatura]]</f>
        <v>Aire 0</v>
      </c>
      <c r="C4" t="s">
        <v>8</v>
      </c>
      <c r="D4">
        <v>0</v>
      </c>
      <c r="E4" s="2">
        <v>1.2769999999999999</v>
      </c>
      <c r="F4" s="3">
        <v>1.7110000000000001E-5</v>
      </c>
      <c r="G4" s="3">
        <v>2.4160000000000001E-2</v>
      </c>
      <c r="H4" s="3">
        <v>1008</v>
      </c>
      <c r="J4" s="4" t="s">
        <v>34</v>
      </c>
      <c r="K4">
        <v>0.83699999999999997</v>
      </c>
      <c r="M4" t="s">
        <v>48</v>
      </c>
    </row>
    <row r="5" spans="2:13" x14ac:dyDescent="0.25">
      <c r="B5" s="3" t="str">
        <f>propiedades_gases_EN673[[#This Row],[gas]]&amp;" "&amp;propiedades_gases_EN673[[#This Row],[temperatura]]</f>
        <v>Aire 10</v>
      </c>
      <c r="C5" t="s">
        <v>8</v>
      </c>
      <c r="D5">
        <v>10</v>
      </c>
      <c r="E5" s="2">
        <v>1.232</v>
      </c>
      <c r="F5" s="3">
        <v>1.7609999999999999E-5</v>
      </c>
      <c r="G5" s="3">
        <v>2.496E-2</v>
      </c>
      <c r="H5" s="3">
        <v>1008</v>
      </c>
      <c r="J5" s="4" t="s">
        <v>32</v>
      </c>
      <c r="K5">
        <v>15</v>
      </c>
      <c r="L5" t="s">
        <v>39</v>
      </c>
      <c r="M5" t="s">
        <v>42</v>
      </c>
    </row>
    <row r="6" spans="2:13" x14ac:dyDescent="0.25">
      <c r="B6" s="3" t="str">
        <f>propiedades_gases_EN673[[#This Row],[gas]]&amp;" "&amp;propiedades_gases_EN673[[#This Row],[temperatura]]</f>
        <v>Aire 20</v>
      </c>
      <c r="C6" t="s">
        <v>8</v>
      </c>
      <c r="D6">
        <v>20</v>
      </c>
      <c r="E6" s="2">
        <v>1.1890000000000001</v>
      </c>
      <c r="F6" s="3">
        <v>1.8110000000000001E-5</v>
      </c>
      <c r="G6" s="3">
        <v>2.5760000000000002E-2</v>
      </c>
      <c r="H6" s="3">
        <v>1008</v>
      </c>
      <c r="J6" t="s">
        <v>33</v>
      </c>
      <c r="K6">
        <v>283</v>
      </c>
      <c r="L6" t="s">
        <v>39</v>
      </c>
      <c r="M6" t="s">
        <v>43</v>
      </c>
    </row>
    <row r="7" spans="2:13" x14ac:dyDescent="0.25">
      <c r="B7" s="3" t="str">
        <f>propiedades_gases_EN673[[#This Row],[gas]]&amp;" "&amp;propiedades_gases_EN673[[#This Row],[temperatura]]</f>
        <v>Argón -10</v>
      </c>
      <c r="C7" t="s">
        <v>9</v>
      </c>
      <c r="D7">
        <v>-10</v>
      </c>
      <c r="E7" s="2">
        <v>1.829</v>
      </c>
      <c r="F7" s="3">
        <v>2.0380000000000001E-5</v>
      </c>
      <c r="G7" s="3">
        <v>1.584E-2</v>
      </c>
      <c r="H7" s="3">
        <v>519</v>
      </c>
      <c r="J7" s="4" t="s">
        <v>35</v>
      </c>
      <c r="K7" s="1">
        <v>5.6699999999999998E-8</v>
      </c>
      <c r="L7" t="s">
        <v>40</v>
      </c>
      <c r="M7" t="s">
        <v>44</v>
      </c>
    </row>
    <row r="8" spans="2:13" x14ac:dyDescent="0.25">
      <c r="B8" s="3" t="str">
        <f>propiedades_gases_EN673[[#This Row],[gas]]&amp;" "&amp;propiedades_gases_EN673[[#This Row],[temperatura]]</f>
        <v>Argón 0</v>
      </c>
      <c r="C8" t="s">
        <v>9</v>
      </c>
      <c r="D8">
        <v>0</v>
      </c>
      <c r="E8" s="2">
        <v>1.762</v>
      </c>
      <c r="F8" s="3">
        <v>2.101E-5</v>
      </c>
      <c r="G8" s="3">
        <v>1.634E-2</v>
      </c>
      <c r="H8" s="3">
        <v>519</v>
      </c>
      <c r="J8" s="4" t="s">
        <v>36</v>
      </c>
      <c r="K8">
        <v>25</v>
      </c>
      <c r="L8" t="s">
        <v>41</v>
      </c>
      <c r="M8" t="s">
        <v>45</v>
      </c>
    </row>
    <row r="9" spans="2:13" x14ac:dyDescent="0.25">
      <c r="B9" s="3" t="str">
        <f>propiedades_gases_EN673[[#This Row],[gas]]&amp;" "&amp;propiedades_gases_EN673[[#This Row],[temperatura]]</f>
        <v>Argón 10</v>
      </c>
      <c r="C9" t="s">
        <v>9</v>
      </c>
      <c r="D9">
        <v>10</v>
      </c>
      <c r="E9" s="2">
        <v>1.6990000000000001</v>
      </c>
      <c r="F9" s="3">
        <v>2.1639999999999999E-5</v>
      </c>
      <c r="G9" s="3">
        <v>1.6840000000000001E-2</v>
      </c>
      <c r="H9" s="3">
        <v>519</v>
      </c>
      <c r="J9" s="4" t="s">
        <v>37</v>
      </c>
      <c r="K9">
        <v>7.7</v>
      </c>
      <c r="L9" t="s">
        <v>41</v>
      </c>
      <c r="M9" t="s">
        <v>46</v>
      </c>
    </row>
    <row r="10" spans="2:13" x14ac:dyDescent="0.25">
      <c r="B10" s="3" t="str">
        <f>propiedades_gases_EN673[[#This Row],[gas]]&amp;" "&amp;propiedades_gases_EN673[[#This Row],[temperatura]]</f>
        <v>Argón 20</v>
      </c>
      <c r="C10" t="s">
        <v>9</v>
      </c>
      <c r="D10">
        <v>20</v>
      </c>
      <c r="E10" s="2">
        <v>1.64</v>
      </c>
      <c r="F10" s="3">
        <v>2.228E-5</v>
      </c>
      <c r="G10" s="3">
        <v>1.7340000000000001E-2</v>
      </c>
      <c r="H10" s="3">
        <v>519</v>
      </c>
      <c r="J10" s="4" t="s">
        <v>38</v>
      </c>
      <c r="K10">
        <v>0.38</v>
      </c>
      <c r="M10" t="s">
        <v>47</v>
      </c>
    </row>
    <row r="11" spans="2:13" x14ac:dyDescent="0.25">
      <c r="B11" s="3" t="str">
        <f>propiedades_gases_EN673[[#This Row],[gas]]&amp;" "&amp;propiedades_gases_EN673[[#This Row],[temperatura]]</f>
        <v>Kriptón -10</v>
      </c>
      <c r="C11" t="s">
        <v>10</v>
      </c>
      <c r="D11">
        <v>-10</v>
      </c>
      <c r="E11" s="2">
        <v>3.8319999999999999</v>
      </c>
      <c r="F11" s="3">
        <v>2.26E-5</v>
      </c>
      <c r="G11" s="3">
        <v>8.4200000000000004E-3</v>
      </c>
      <c r="H11" s="3">
        <v>245</v>
      </c>
      <c r="J11" s="4" t="s">
        <v>24</v>
      </c>
      <c r="K11">
        <v>3.5000000000000003E-2</v>
      </c>
      <c r="M11" t="s">
        <v>44</v>
      </c>
    </row>
    <row r="12" spans="2:13" x14ac:dyDescent="0.25">
      <c r="B12" s="3" t="str">
        <f>propiedades_gases_EN673[[#This Row],[gas]]&amp;" "&amp;propiedades_gases_EN673[[#This Row],[temperatura]]</f>
        <v>Kriptón 0</v>
      </c>
      <c r="C12" t="s">
        <v>10</v>
      </c>
      <c r="D12">
        <v>0</v>
      </c>
      <c r="E12" s="2">
        <v>3.69</v>
      </c>
      <c r="F12" s="3">
        <v>2.3300000000000001E-5</v>
      </c>
      <c r="G12" s="3">
        <v>8.6999999999999994E-3</v>
      </c>
      <c r="H12" s="3">
        <v>245</v>
      </c>
    </row>
    <row r="13" spans="2:13" x14ac:dyDescent="0.25">
      <c r="B13" s="3" t="str">
        <f>propiedades_gases_EN673[[#This Row],[gas]]&amp;" "&amp;propiedades_gases_EN673[[#This Row],[temperatura]]</f>
        <v>Kriptón 10</v>
      </c>
      <c r="C13" t="s">
        <v>10</v>
      </c>
      <c r="D13">
        <v>10</v>
      </c>
      <c r="E13" s="2">
        <v>3.56</v>
      </c>
      <c r="F13" s="3">
        <v>2.4000000000000001E-5</v>
      </c>
      <c r="G13" s="3">
        <v>8.9999999999999993E-3</v>
      </c>
      <c r="H13" s="3">
        <v>245</v>
      </c>
      <c r="J13" t="s">
        <v>55</v>
      </c>
      <c r="K13">
        <v>0.13</v>
      </c>
    </row>
    <row r="14" spans="2:13" x14ac:dyDescent="0.25">
      <c r="B14" s="3" t="str">
        <f>propiedades_gases_EN673[[#This Row],[gas]]&amp;" "&amp;propiedades_gases_EN673[[#This Row],[temperatura]]</f>
        <v>Kriptón 20</v>
      </c>
      <c r="C14" t="s">
        <v>10</v>
      </c>
      <c r="D14">
        <v>20</v>
      </c>
      <c r="E14" s="2">
        <v>3.42</v>
      </c>
      <c r="F14" s="3">
        <v>2.4700000000000001E-5</v>
      </c>
      <c r="G14" s="3">
        <v>9.2599999999999991E-3</v>
      </c>
      <c r="H14" s="3">
        <v>245</v>
      </c>
      <c r="J14" t="s">
        <v>56</v>
      </c>
      <c r="K14">
        <v>0.04</v>
      </c>
    </row>
    <row r="15" spans="2:13" x14ac:dyDescent="0.25">
      <c r="B15" s="3" t="str">
        <f>propiedades_gases_EN673[[#This Row],[gas]]&amp;" "&amp;propiedades_gases_EN673[[#This Row],[temperatura]]</f>
        <v>Xenón -10</v>
      </c>
      <c r="C15" t="s">
        <v>11</v>
      </c>
      <c r="D15">
        <v>-10</v>
      </c>
      <c r="E15" s="2">
        <v>6.1210000000000004</v>
      </c>
      <c r="F15" s="3">
        <v>2.0780000000000001E-5</v>
      </c>
      <c r="G15" s="3">
        <v>4.9399999999999999E-3</v>
      </c>
      <c r="H15" s="3">
        <v>161</v>
      </c>
      <c r="J15" s="4" t="s">
        <v>57</v>
      </c>
      <c r="K15">
        <v>1</v>
      </c>
      <c r="L15" t="s">
        <v>58</v>
      </c>
      <c r="M15" t="s">
        <v>59</v>
      </c>
    </row>
    <row r="16" spans="2:13" x14ac:dyDescent="0.25">
      <c r="B16" s="3" t="str">
        <f>propiedades_gases_EN673[[#This Row],[gas]]&amp;" "&amp;propiedades_gases_EN673[[#This Row],[temperatura]]</f>
        <v>Xenón 0</v>
      </c>
      <c r="C16" t="s">
        <v>11</v>
      </c>
      <c r="D16">
        <v>0</v>
      </c>
      <c r="E16" s="2">
        <v>5.8970000000000002</v>
      </c>
      <c r="F16" s="3">
        <v>2.1520000000000001E-5</v>
      </c>
      <c r="G16" s="3">
        <v>5.1200000000000004E-3</v>
      </c>
      <c r="H16" s="3">
        <v>161</v>
      </c>
    </row>
    <row r="17" spans="2:17" x14ac:dyDescent="0.25">
      <c r="B17" s="3" t="str">
        <f>propiedades_gases_EN673[[#This Row],[gas]]&amp;" "&amp;propiedades_gases_EN673[[#This Row],[temperatura]]</f>
        <v>Xenón 10</v>
      </c>
      <c r="C17" t="s">
        <v>11</v>
      </c>
      <c r="D17">
        <v>10</v>
      </c>
      <c r="E17" s="2">
        <v>5.6890000000000001</v>
      </c>
      <c r="F17" s="3">
        <v>2.226E-5</v>
      </c>
      <c r="G17" s="3">
        <v>5.2900000000000004E-3</v>
      </c>
      <c r="H17" s="3">
        <v>161</v>
      </c>
    </row>
    <row r="18" spans="2:17" x14ac:dyDescent="0.25">
      <c r="B18" s="3" t="str">
        <f>propiedades_gases_EN673[[#This Row],[gas]]&amp;" "&amp;propiedades_gases_EN673[[#This Row],[temperatura]]</f>
        <v>Xenón 20</v>
      </c>
      <c r="C18" t="s">
        <v>11</v>
      </c>
      <c r="D18">
        <v>20</v>
      </c>
      <c r="E18" s="2">
        <v>5.4950000000000001</v>
      </c>
      <c r="F18" s="3">
        <v>2.2989999999999998E-5</v>
      </c>
      <c r="G18" s="3">
        <v>5.4599999999999996E-3</v>
      </c>
      <c r="H18" s="3">
        <v>161</v>
      </c>
      <c r="J18" t="s">
        <v>60</v>
      </c>
      <c r="K18" t="s">
        <v>61</v>
      </c>
      <c r="L18" t="s">
        <v>62</v>
      </c>
      <c r="M18" t="s">
        <v>63</v>
      </c>
      <c r="N18" t="s">
        <v>64</v>
      </c>
      <c r="O18" t="s">
        <v>153</v>
      </c>
    </row>
    <row r="19" spans="2:17" x14ac:dyDescent="0.25">
      <c r="B19" s="3" t="str">
        <f>propiedades_gases_EN673[[#This Row],[gas]]&amp;" "&amp;propiedades_gases_EN673[[#This Row],[temperatura]]</f>
        <v>SF6 -10</v>
      </c>
      <c r="C19" t="s">
        <v>12</v>
      </c>
      <c r="D19">
        <v>-10</v>
      </c>
      <c r="E19" s="2">
        <v>6.8440000000000003</v>
      </c>
      <c r="F19" s="3">
        <v>1.383E-5</v>
      </c>
      <c r="G19" s="3">
        <v>1.119E-2</v>
      </c>
      <c r="H19" s="3">
        <v>614</v>
      </c>
      <c r="J19">
        <v>6</v>
      </c>
      <c r="K19">
        <v>0.21099999999999999</v>
      </c>
      <c r="L19">
        <v>0.191</v>
      </c>
      <c r="M19">
        <v>0.16300000000000001</v>
      </c>
      <c r="N19">
        <v>0.13200000000000001</v>
      </c>
      <c r="O19">
        <v>0.127</v>
      </c>
    </row>
    <row r="20" spans="2:17" x14ac:dyDescent="0.25">
      <c r="B20" s="3" t="str">
        <f>propiedades_gases_EN673[[#This Row],[gas]]&amp;" "&amp;propiedades_gases_EN673[[#This Row],[temperatura]]</f>
        <v>SF6 0</v>
      </c>
      <c r="C20" t="s">
        <v>12</v>
      </c>
      <c r="D20">
        <v>0</v>
      </c>
      <c r="E20" s="2">
        <v>6.6020000000000003</v>
      </c>
      <c r="F20" s="3">
        <v>1.4209999999999999E-5</v>
      </c>
      <c r="G20" s="3">
        <v>1.197E-2</v>
      </c>
      <c r="H20" s="3">
        <v>614</v>
      </c>
      <c r="J20">
        <v>9</v>
      </c>
      <c r="K20">
        <v>0.29899999999999999</v>
      </c>
      <c r="L20">
        <v>0.25900000000000001</v>
      </c>
      <c r="M20">
        <v>0.21099999999999999</v>
      </c>
      <c r="N20">
        <v>0.16200000000000001</v>
      </c>
      <c r="O20">
        <v>0.154</v>
      </c>
    </row>
    <row r="21" spans="2:17" x14ac:dyDescent="0.25">
      <c r="B21" s="3" t="str">
        <f>propiedades_gases_EN673[[#This Row],[gas]]&amp;" "&amp;propiedades_gases_EN673[[#This Row],[temperatura]]</f>
        <v>SF6 10</v>
      </c>
      <c r="C21" t="s">
        <v>12</v>
      </c>
      <c r="D21">
        <v>10</v>
      </c>
      <c r="E21" s="2">
        <v>6.36</v>
      </c>
      <c r="F21" s="3">
        <v>1.4589999999999999E-5</v>
      </c>
      <c r="G21" s="3">
        <v>1.2749999999999999E-2</v>
      </c>
      <c r="H21" s="3">
        <v>614</v>
      </c>
      <c r="J21">
        <v>12</v>
      </c>
      <c r="K21">
        <v>0.377</v>
      </c>
      <c r="L21">
        <v>0.316</v>
      </c>
      <c r="M21">
        <v>0.247</v>
      </c>
      <c r="N21">
        <v>0.18099999999999999</v>
      </c>
      <c r="O21">
        <v>0.17299999999999999</v>
      </c>
    </row>
    <row r="22" spans="2:17" x14ac:dyDescent="0.25">
      <c r="B22" s="3" t="str">
        <f>propiedades_gases_EN673[[#This Row],[gas]]&amp;" "&amp;propiedades_gases_EN673[[#This Row],[temperatura]]</f>
        <v>SF6 20</v>
      </c>
      <c r="C22" t="s">
        <v>12</v>
      </c>
      <c r="D22">
        <v>20</v>
      </c>
      <c r="E22" s="2">
        <v>6.1180000000000003</v>
      </c>
      <c r="F22" s="3">
        <v>1.4970000000000001E-5</v>
      </c>
      <c r="G22" s="3">
        <v>1.354E-2</v>
      </c>
      <c r="H22" s="3">
        <v>614</v>
      </c>
      <c r="J22">
        <v>15</v>
      </c>
      <c r="K22">
        <v>0.44700000000000001</v>
      </c>
      <c r="L22">
        <v>0.36399999999999999</v>
      </c>
      <c r="M22">
        <v>0.27600000000000002</v>
      </c>
      <c r="N22">
        <v>0.19700000000000001</v>
      </c>
      <c r="O22">
        <v>0.186</v>
      </c>
    </row>
    <row r="23" spans="2:17" x14ac:dyDescent="0.25">
      <c r="J23">
        <v>50</v>
      </c>
      <c r="K23">
        <v>0.40600000000000003</v>
      </c>
      <c r="L23">
        <v>0.33600000000000002</v>
      </c>
      <c r="M23">
        <v>0.26</v>
      </c>
      <c r="N23">
        <v>0.189</v>
      </c>
      <c r="O23">
        <v>0.17899999999999999</v>
      </c>
    </row>
    <row r="24" spans="2:17" x14ac:dyDescent="0.25">
      <c r="B24" s="11" t="s">
        <v>21</v>
      </c>
      <c r="C24" s="11" t="s">
        <v>93</v>
      </c>
      <c r="G24" s="11" t="s">
        <v>95</v>
      </c>
    </row>
    <row r="25" spans="2:17" x14ac:dyDescent="0.25">
      <c r="B25" t="s">
        <v>8</v>
      </c>
      <c r="C25" t="s">
        <v>118</v>
      </c>
      <c r="E25" s="12"/>
      <c r="G25" t="s">
        <v>230</v>
      </c>
      <c r="J25" t="s">
        <v>66</v>
      </c>
      <c r="K25" t="s">
        <v>4</v>
      </c>
    </row>
    <row r="26" spans="2:17" x14ac:dyDescent="0.25">
      <c r="B26" t="s">
        <v>9</v>
      </c>
      <c r="C26" s="12" t="s">
        <v>78</v>
      </c>
      <c r="D26" s="12">
        <v>1</v>
      </c>
      <c r="E26" s="12" t="s">
        <v>78</v>
      </c>
      <c r="G26" t="s">
        <v>96</v>
      </c>
      <c r="J26" t="s">
        <v>65</v>
      </c>
      <c r="K26">
        <v>2.8</v>
      </c>
    </row>
    <row r="27" spans="2:17" x14ac:dyDescent="0.25">
      <c r="B27" t="s">
        <v>10</v>
      </c>
      <c r="C27" s="12" t="s">
        <v>83</v>
      </c>
      <c r="D27" s="12">
        <v>2</v>
      </c>
      <c r="E27" t="s">
        <v>112</v>
      </c>
      <c r="G27" t="s">
        <v>97</v>
      </c>
      <c r="J27" t="s">
        <v>67</v>
      </c>
      <c r="K27">
        <v>2.2000000000000002</v>
      </c>
      <c r="M27" s="12"/>
      <c r="N27" s="12" t="s">
        <v>86</v>
      </c>
      <c r="O27" s="12" t="s">
        <v>87</v>
      </c>
      <c r="P27" s="12" t="s">
        <v>4</v>
      </c>
      <c r="Q27" s="39" t="s">
        <v>0</v>
      </c>
    </row>
    <row r="28" spans="2:17" x14ac:dyDescent="0.25">
      <c r="B28" t="s">
        <v>11</v>
      </c>
      <c r="C28" s="12" t="s">
        <v>84</v>
      </c>
      <c r="D28" s="12">
        <v>2</v>
      </c>
      <c r="E28" t="s">
        <v>112</v>
      </c>
      <c r="J28" t="s">
        <v>68</v>
      </c>
      <c r="K28">
        <v>2</v>
      </c>
      <c r="M28" s="12" t="s">
        <v>83</v>
      </c>
      <c r="N28" s="12">
        <v>0.85</v>
      </c>
      <c r="O28" s="12">
        <v>0.85</v>
      </c>
      <c r="P28" s="12"/>
    </row>
    <row r="29" spans="2:17" x14ac:dyDescent="0.25">
      <c r="B29" t="s">
        <v>12</v>
      </c>
      <c r="C29" s="12" t="s">
        <v>79</v>
      </c>
      <c r="D29" s="12">
        <v>3</v>
      </c>
      <c r="E29" s="12" t="s">
        <v>79</v>
      </c>
      <c r="G29" s="11" t="s">
        <v>98</v>
      </c>
      <c r="M29" s="12" t="s">
        <v>84</v>
      </c>
      <c r="N29" s="12">
        <v>0.85</v>
      </c>
      <c r="O29" s="12">
        <v>0.85</v>
      </c>
      <c r="P29" s="12">
        <v>6.5</v>
      </c>
      <c r="Q29" s="39">
        <v>5.8</v>
      </c>
    </row>
    <row r="30" spans="2:17" x14ac:dyDescent="0.25">
      <c r="C30" s="12"/>
      <c r="D30" s="12"/>
      <c r="E30" s="12"/>
      <c r="G30" t="s">
        <v>116</v>
      </c>
    </row>
    <row r="31" spans="2:17" x14ac:dyDescent="0.25">
      <c r="C31" t="s">
        <v>94</v>
      </c>
      <c r="G31" t="s">
        <v>99</v>
      </c>
    </row>
    <row r="32" spans="2:17" x14ac:dyDescent="0.25">
      <c r="G32" t="s">
        <v>107</v>
      </c>
      <c r="J32">
        <v>1</v>
      </c>
      <c r="M32">
        <v>2</v>
      </c>
    </row>
    <row r="33" spans="2:14" x14ac:dyDescent="0.25">
      <c r="B33" t="s">
        <v>74</v>
      </c>
      <c r="D33" t="s">
        <v>189</v>
      </c>
      <c r="E33">
        <v>1</v>
      </c>
      <c r="G33" t="s">
        <v>108</v>
      </c>
      <c r="J33" t="s">
        <v>69</v>
      </c>
      <c r="K33" t="s">
        <v>70</v>
      </c>
      <c r="M33" t="s">
        <v>69</v>
      </c>
      <c r="N33" t="s">
        <v>70</v>
      </c>
    </row>
    <row r="34" spans="2:14" x14ac:dyDescent="0.25">
      <c r="B34" t="s">
        <v>73</v>
      </c>
      <c r="G34" t="s">
        <v>109</v>
      </c>
      <c r="J34">
        <v>30</v>
      </c>
      <c r="K34">
        <v>2.7</v>
      </c>
      <c r="M34">
        <v>30</v>
      </c>
      <c r="N34">
        <v>2.2999999999999998</v>
      </c>
    </row>
    <row r="35" spans="2:14" x14ac:dyDescent="0.25">
      <c r="G35" t="s">
        <v>110</v>
      </c>
      <c r="J35">
        <v>50</v>
      </c>
      <c r="K35">
        <v>2.4</v>
      </c>
      <c r="M35">
        <v>50</v>
      </c>
      <c r="N35">
        <v>2.02</v>
      </c>
    </row>
    <row r="36" spans="2:14" x14ac:dyDescent="0.25">
      <c r="B36" t="s">
        <v>82</v>
      </c>
      <c r="C36" t="s">
        <v>80</v>
      </c>
      <c r="D36" t="s">
        <v>81</v>
      </c>
      <c r="J36">
        <v>95</v>
      </c>
      <c r="K36">
        <v>1.8</v>
      </c>
      <c r="M36">
        <v>110</v>
      </c>
      <c r="N36">
        <v>1.38</v>
      </c>
    </row>
    <row r="37" spans="2:14" x14ac:dyDescent="0.25">
      <c r="B37" t="s">
        <v>78</v>
      </c>
      <c r="C37">
        <v>0.06</v>
      </c>
      <c r="D37">
        <v>0.08</v>
      </c>
      <c r="G37" s="11" t="s">
        <v>6</v>
      </c>
      <c r="J37">
        <v>115</v>
      </c>
      <c r="K37">
        <v>1.6</v>
      </c>
      <c r="M37">
        <v>120</v>
      </c>
      <c r="N37">
        <v>1.3</v>
      </c>
    </row>
    <row r="38" spans="2:14" x14ac:dyDescent="0.25">
      <c r="B38" t="s">
        <v>83</v>
      </c>
      <c r="C38">
        <v>0.08</v>
      </c>
      <c r="D38">
        <v>0.11</v>
      </c>
      <c r="G38" t="s">
        <v>105</v>
      </c>
      <c r="J38">
        <v>140</v>
      </c>
      <c r="K38">
        <v>1.4</v>
      </c>
      <c r="M38">
        <v>150</v>
      </c>
      <c r="N38">
        <v>1.1000000000000001</v>
      </c>
    </row>
    <row r="39" spans="2:14" x14ac:dyDescent="0.25">
      <c r="B39" t="s">
        <v>84</v>
      </c>
      <c r="C39">
        <v>0.02</v>
      </c>
      <c r="D39">
        <v>0.05</v>
      </c>
      <c r="G39" t="s">
        <v>106</v>
      </c>
      <c r="J39">
        <v>170</v>
      </c>
      <c r="K39">
        <v>1.2</v>
      </c>
      <c r="M39">
        <v>169</v>
      </c>
      <c r="N39">
        <v>1</v>
      </c>
    </row>
    <row r="40" spans="2:14" x14ac:dyDescent="0.25">
      <c r="B40" t="s">
        <v>79</v>
      </c>
      <c r="C40">
        <v>0.06</v>
      </c>
      <c r="D40">
        <v>0.08</v>
      </c>
    </row>
    <row r="41" spans="2:14" x14ac:dyDescent="0.25">
      <c r="G41" s="11" t="s">
        <v>102</v>
      </c>
    </row>
    <row r="42" spans="2:14" x14ac:dyDescent="0.25">
      <c r="B42" t="s">
        <v>82</v>
      </c>
      <c r="C42" t="s">
        <v>80</v>
      </c>
      <c r="D42" t="s">
        <v>81</v>
      </c>
      <c r="F42">
        <v>1</v>
      </c>
      <c r="G42" t="s">
        <v>145</v>
      </c>
    </row>
    <row r="43" spans="2:14" x14ac:dyDescent="0.25">
      <c r="B43" t="s">
        <v>78</v>
      </c>
      <c r="C43">
        <v>0.05</v>
      </c>
      <c r="D43">
        <v>0.06</v>
      </c>
      <c r="F43">
        <v>2</v>
      </c>
      <c r="G43" t="s">
        <v>142</v>
      </c>
    </row>
    <row r="44" spans="2:14" x14ac:dyDescent="0.25">
      <c r="B44" t="s">
        <v>83</v>
      </c>
      <c r="C44">
        <v>0.06</v>
      </c>
      <c r="D44">
        <v>0.08</v>
      </c>
      <c r="F44">
        <v>3</v>
      </c>
      <c r="G44" t="s">
        <v>144</v>
      </c>
    </row>
    <row r="45" spans="2:14" x14ac:dyDescent="0.25">
      <c r="B45" t="s">
        <v>84</v>
      </c>
      <c r="C45">
        <v>0.01</v>
      </c>
      <c r="D45">
        <v>0.04</v>
      </c>
      <c r="F45">
        <v>4</v>
      </c>
      <c r="G45" t="s">
        <v>143</v>
      </c>
    </row>
    <row r="46" spans="2:14" x14ac:dyDescent="0.25">
      <c r="B46" t="s">
        <v>79</v>
      </c>
      <c r="C46">
        <v>0.05</v>
      </c>
      <c r="D46">
        <v>0.06</v>
      </c>
      <c r="F46">
        <v>5</v>
      </c>
      <c r="G46" t="s">
        <v>192</v>
      </c>
    </row>
    <row r="50" spans="3:37" x14ac:dyDescent="0.25">
      <c r="C50" t="s">
        <v>69</v>
      </c>
      <c r="D50" t="s">
        <v>70</v>
      </c>
      <c r="F50" t="s">
        <v>69</v>
      </c>
      <c r="G50" t="s">
        <v>70</v>
      </c>
    </row>
    <row r="51" spans="3:37" x14ac:dyDescent="0.25">
      <c r="C51">
        <v>0</v>
      </c>
      <c r="D51">
        <v>0</v>
      </c>
      <c r="F51">
        <v>0</v>
      </c>
      <c r="G51">
        <v>0</v>
      </c>
    </row>
    <row r="52" spans="3:37" x14ac:dyDescent="0.25">
      <c r="C52">
        <v>8</v>
      </c>
      <c r="D52">
        <v>0.11</v>
      </c>
      <c r="F52">
        <v>12</v>
      </c>
      <c r="G52">
        <v>0.22500000000000001</v>
      </c>
    </row>
    <row r="53" spans="3:37" x14ac:dyDescent="0.25">
      <c r="C53">
        <v>22</v>
      </c>
      <c r="D53">
        <v>0.2</v>
      </c>
      <c r="F53">
        <v>20</v>
      </c>
      <c r="G53">
        <v>0.3</v>
      </c>
    </row>
    <row r="54" spans="3:37" x14ac:dyDescent="0.25">
      <c r="C54">
        <v>32</v>
      </c>
      <c r="D54">
        <v>0.22500000000000001</v>
      </c>
      <c r="F54">
        <v>29</v>
      </c>
      <c r="G54">
        <v>0.35</v>
      </c>
    </row>
    <row r="55" spans="3:37" x14ac:dyDescent="0.25">
      <c r="C55">
        <v>36</v>
      </c>
      <c r="D55">
        <v>0.23</v>
      </c>
      <c r="F55">
        <v>36</v>
      </c>
      <c r="G55">
        <v>0.36599999999999999</v>
      </c>
    </row>
    <row r="60" spans="3:37" x14ac:dyDescent="0.25">
      <c r="G60" t="s">
        <v>229</v>
      </c>
      <c r="I60">
        <v>0.5</v>
      </c>
    </row>
    <row r="61" spans="3:37" x14ac:dyDescent="0.25">
      <c r="G61" s="40" t="s">
        <v>253</v>
      </c>
    </row>
    <row r="62" spans="3:37" x14ac:dyDescent="0.25">
      <c r="G62" s="40" t="s">
        <v>188</v>
      </c>
      <c r="H62" s="40"/>
      <c r="I62" s="40"/>
      <c r="J62" s="40"/>
      <c r="K62" s="40"/>
      <c r="L62" s="40"/>
      <c r="M62" s="40"/>
      <c r="N62" s="40"/>
      <c r="O62" s="40"/>
      <c r="P62" s="40"/>
      <c r="Q62" s="40"/>
    </row>
    <row r="63" spans="3:37" ht="15" customHeight="1" x14ac:dyDescent="0.25">
      <c r="G63" t="str">
        <f>"Para efectos de acreditar su comportamiento térmico, se considera a la ventana con vidrio simple y marco de metal sin RPT con Uw = "&amp;$Q$29&amp;" [W/m²K] como máximo."</f>
        <v>Para efectos de acreditar su comportamiento térmico, se considera a la ventana con vidrio simple y marco de metal sin RPT con Uw = 5,8 [W/m²K] como máximo.</v>
      </c>
      <c r="H63" s="41"/>
      <c r="I63" s="41"/>
      <c r="J63" s="41"/>
      <c r="K63" s="41"/>
      <c r="L63" s="41"/>
      <c r="M63" s="41"/>
      <c r="N63" s="41"/>
      <c r="O63" s="41"/>
      <c r="P63" s="41"/>
      <c r="Q63" s="41"/>
      <c r="R63" s="42"/>
      <c r="S63" s="42"/>
      <c r="T63" s="42"/>
      <c r="U63" s="42"/>
      <c r="V63" s="42"/>
      <c r="W63" s="42"/>
      <c r="X63" s="42"/>
      <c r="Y63" s="42"/>
      <c r="Z63" s="42"/>
      <c r="AA63" s="42"/>
      <c r="AB63" s="42"/>
      <c r="AC63" s="42"/>
      <c r="AD63" s="42"/>
      <c r="AE63" s="42"/>
      <c r="AF63" s="42"/>
      <c r="AG63" s="42"/>
      <c r="AH63" s="42"/>
      <c r="AI63" s="42"/>
      <c r="AJ63" s="42"/>
      <c r="AK63" s="42"/>
    </row>
    <row r="64" spans="3:37" x14ac:dyDescent="0.25">
      <c r="G64" s="41" t="s">
        <v>187</v>
      </c>
      <c r="H64" s="41"/>
      <c r="I64" s="41"/>
      <c r="J64" s="41"/>
      <c r="K64" s="41"/>
      <c r="L64" s="41"/>
      <c r="M64" s="41"/>
      <c r="N64" s="41"/>
      <c r="O64" s="41"/>
      <c r="P64" s="41"/>
      <c r="Q64" s="41"/>
      <c r="R64" s="42"/>
      <c r="S64" s="42"/>
      <c r="T64" s="42"/>
      <c r="U64" s="42"/>
      <c r="V64" s="42"/>
      <c r="W64" s="42"/>
      <c r="X64" s="42"/>
      <c r="Y64" s="42"/>
      <c r="Z64" s="42"/>
      <c r="AA64" s="42"/>
      <c r="AB64" s="42"/>
      <c r="AC64" s="42"/>
      <c r="AD64" s="42"/>
      <c r="AE64" s="42"/>
      <c r="AF64" s="42"/>
      <c r="AG64" s="42"/>
      <c r="AH64" s="42"/>
      <c r="AI64" s="42"/>
      <c r="AJ64" s="42"/>
      <c r="AK64" s="42"/>
    </row>
    <row r="65" spans="7:17" x14ac:dyDescent="0.25">
      <c r="G65" s="40" t="s">
        <v>255</v>
      </c>
      <c r="H65" s="40"/>
      <c r="I65" s="40"/>
      <c r="J65" s="40"/>
      <c r="K65" s="40"/>
      <c r="L65" s="40"/>
      <c r="M65" s="40"/>
      <c r="N65" s="40"/>
      <c r="O65" s="40"/>
      <c r="P65" s="40"/>
      <c r="Q65" s="40"/>
    </row>
    <row r="66" spans="7:17" x14ac:dyDescent="0.25">
      <c r="G66" s="40" t="s">
        <v>252</v>
      </c>
      <c r="H66" s="40"/>
      <c r="I66" s="40"/>
      <c r="J66" s="40"/>
      <c r="K66" s="40"/>
      <c r="L66" s="40"/>
      <c r="M66" s="40"/>
      <c r="N66" s="40"/>
      <c r="O66" s="40"/>
      <c r="P66" s="40"/>
      <c r="Q66" s="40"/>
    </row>
    <row r="67" spans="7:17" x14ac:dyDescent="0.25">
      <c r="G67" s="40"/>
      <c r="H67" s="40"/>
      <c r="I67" s="40"/>
      <c r="J67" s="40"/>
      <c r="K67" s="40"/>
      <c r="L67" s="40"/>
      <c r="M67" s="40"/>
      <c r="N67" s="40"/>
      <c r="O67" s="40"/>
      <c r="P67" s="40"/>
      <c r="Q67" s="40"/>
    </row>
    <row r="69" spans="7:17" x14ac:dyDescent="0.25">
      <c r="H69" s="43" t="s">
        <v>208</v>
      </c>
      <c r="I69" t="s">
        <v>195</v>
      </c>
    </row>
    <row r="70" spans="7:17" x14ac:dyDescent="0.25">
      <c r="H70" s="43" t="s">
        <v>209</v>
      </c>
      <c r="I70" t="s">
        <v>197</v>
      </c>
    </row>
    <row r="71" spans="7:17" x14ac:dyDescent="0.25">
      <c r="H71" s="43" t="s">
        <v>210</v>
      </c>
      <c r="I71" t="s">
        <v>198</v>
      </c>
    </row>
    <row r="72" spans="7:17" x14ac:dyDescent="0.25">
      <c r="H72" s="43" t="s">
        <v>211</v>
      </c>
      <c r="I72" t="s">
        <v>199</v>
      </c>
    </row>
    <row r="73" spans="7:17" x14ac:dyDescent="0.25">
      <c r="H73" s="43" t="s">
        <v>212</v>
      </c>
      <c r="I73" t="s">
        <v>201</v>
      </c>
    </row>
    <row r="74" spans="7:17" x14ac:dyDescent="0.25">
      <c r="H74" s="43" t="s">
        <v>213</v>
      </c>
      <c r="I74" t="s">
        <v>196</v>
      </c>
    </row>
    <row r="75" spans="7:17" x14ac:dyDescent="0.25">
      <c r="H75" s="43" t="s">
        <v>214</v>
      </c>
      <c r="I75" t="s">
        <v>200</v>
      </c>
    </row>
    <row r="76" spans="7:17" x14ac:dyDescent="0.25">
      <c r="H76" s="43" t="s">
        <v>242</v>
      </c>
    </row>
    <row r="78" spans="7:17" x14ac:dyDescent="0.25">
      <c r="G78">
        <v>1</v>
      </c>
      <c r="H78" t="s">
        <v>193</v>
      </c>
      <c r="I78" t="s">
        <v>144</v>
      </c>
      <c r="J78" t="s">
        <v>143</v>
      </c>
      <c r="K78" t="s">
        <v>192</v>
      </c>
    </row>
    <row r="79" spans="7:17" x14ac:dyDescent="0.25">
      <c r="G79">
        <v>2</v>
      </c>
      <c r="H79" t="s">
        <v>202</v>
      </c>
      <c r="I79" t="s">
        <v>145</v>
      </c>
      <c r="J79" t="s">
        <v>144</v>
      </c>
      <c r="K79" t="s">
        <v>143</v>
      </c>
    </row>
    <row r="80" spans="7:17" x14ac:dyDescent="0.25">
      <c r="G80">
        <v>3</v>
      </c>
      <c r="H80" t="s">
        <v>203</v>
      </c>
      <c r="I80" t="s">
        <v>142</v>
      </c>
      <c r="J80" t="s">
        <v>144</v>
      </c>
      <c r="K80" t="s">
        <v>143</v>
      </c>
    </row>
    <row r="81" spans="7:13" x14ac:dyDescent="0.25">
      <c r="G81">
        <v>4</v>
      </c>
      <c r="H81" t="s">
        <v>231</v>
      </c>
      <c r="I81" t="s">
        <v>145</v>
      </c>
      <c r="J81" t="s">
        <v>144</v>
      </c>
      <c r="K81" t="s">
        <v>143</v>
      </c>
    </row>
    <row r="82" spans="7:13" x14ac:dyDescent="0.25">
      <c r="G82">
        <v>5</v>
      </c>
      <c r="H82" t="s">
        <v>241</v>
      </c>
      <c r="I82" t="s">
        <v>145</v>
      </c>
      <c r="J82" t="s">
        <v>142</v>
      </c>
      <c r="K82" t="s">
        <v>144</v>
      </c>
      <c r="L82" t="s">
        <v>143</v>
      </c>
      <c r="M82" t="s">
        <v>192</v>
      </c>
    </row>
  </sheetData>
  <pageMargins left="0.7" right="0.7" top="0.75" bottom="0.75" header="0.3" footer="0.3"/>
  <pageSetup paperSize="9" orientation="portrait" r:id="rId1"/>
  <drawing r:id="rId2"/>
  <tableParts count="5">
    <tablePart r:id="rId3"/>
    <tablePart r:id="rId4"/>
    <tablePart r:id="rId5"/>
    <tablePart r:id="rId6"/>
    <tablePart r:id="rId7"/>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79781E57EE3776479F00CFB3B8B4EE7E" ma:contentTypeVersion="14" ma:contentTypeDescription="Crear nuevo documento." ma:contentTypeScope="" ma:versionID="da1e4267203da749d950936d349c3893">
  <xsd:schema xmlns:xsd="http://www.w3.org/2001/XMLSchema" xmlns:xs="http://www.w3.org/2001/XMLSchema" xmlns:p="http://schemas.microsoft.com/office/2006/metadata/properties" xmlns:ns3="f99a8142-c8c3-42d1-99c9-e345721dd35b" xmlns:ns4="14c95f5b-5f88-4db2-8f54-557d0624db05" targetNamespace="http://schemas.microsoft.com/office/2006/metadata/properties" ma:root="true" ma:fieldsID="87dd9e75677760c985b0ecd9d962c1ad" ns3:_="" ns4:_="">
    <xsd:import namespace="f99a8142-c8c3-42d1-99c9-e345721dd35b"/>
    <xsd:import namespace="14c95f5b-5f88-4db2-8f54-557d0624db05"/>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element ref="ns3:MediaServiceDateTaken" minOccurs="0"/>
                <xsd:element ref="ns3:MediaLengthInSeconds" minOccurs="0"/>
                <xsd:element ref="ns3:MediaServiceAutoTags" minOccurs="0"/>
                <xsd:element ref="ns3:MediaServiceGenerationTime" minOccurs="0"/>
                <xsd:element ref="ns3:MediaServiceEventHashCode"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9a8142-c8c3-42d1-99c9-e345721dd35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AutoTags" ma:index="17" nillable="true" ma:displayName="Tags" ma:internalName="MediaServiceAutoTag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4c95f5b-5f88-4db2-8f54-557d0624db05"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517ED3F-18CB-4F73-9CF2-B6046E149140}">
  <ds:schemaRefs>
    <ds:schemaRef ds:uri="http://schemas.microsoft.com/sharepoint/v3/contenttype/forms"/>
  </ds:schemaRefs>
</ds:datastoreItem>
</file>

<file path=customXml/itemProps2.xml><?xml version="1.0" encoding="utf-8"?>
<ds:datastoreItem xmlns:ds="http://schemas.openxmlformats.org/officeDocument/2006/customXml" ds:itemID="{5F30D9C9-E505-4028-B9A2-CA8507DDC866}">
  <ds:schemaRefs>
    <ds:schemaRef ds:uri="http://purl.org/dc/dcmitype/"/>
    <ds:schemaRef ds:uri="http://schemas.microsoft.com/office/infopath/2007/PartnerControls"/>
    <ds:schemaRef ds:uri="http://schemas.microsoft.com/office/2006/documentManagement/types"/>
    <ds:schemaRef ds:uri="http://schemas.microsoft.com/office/2006/metadata/properties"/>
    <ds:schemaRef ds:uri="f99a8142-c8c3-42d1-99c9-e345721dd35b"/>
    <ds:schemaRef ds:uri="http://purl.org/dc/terms/"/>
    <ds:schemaRef ds:uri="http://schemas.openxmlformats.org/package/2006/metadata/core-properties"/>
    <ds:schemaRef ds:uri="14c95f5b-5f88-4db2-8f54-557d0624db05"/>
    <ds:schemaRef ds:uri="http://www.w3.org/XML/1998/namespace"/>
    <ds:schemaRef ds:uri="http://purl.org/dc/elements/1.1/"/>
  </ds:schemaRefs>
</ds:datastoreItem>
</file>

<file path=customXml/itemProps3.xml><?xml version="1.0" encoding="utf-8"?>
<ds:datastoreItem xmlns:ds="http://schemas.openxmlformats.org/officeDocument/2006/customXml" ds:itemID="{B6CECA22-585A-4AD3-A0FF-AF993DFB07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9a8142-c8c3-42d1-99c9-e345721dd35b"/>
    <ds:schemaRef ds:uri="14c95f5b-5f88-4db2-8f54-557d0624db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65</vt:i4>
      </vt:variant>
    </vt:vector>
  </HeadingPairs>
  <TitlesOfParts>
    <vt:vector size="70" baseType="lpstr">
      <vt:lpstr>Instrucciones</vt:lpstr>
      <vt:lpstr>Datos</vt:lpstr>
      <vt:lpstr>Cálculos</vt:lpstr>
      <vt:lpstr>imágenes</vt:lpstr>
      <vt:lpstr>Aux</vt:lpstr>
      <vt:lpstr>A_gas</vt:lpstr>
      <vt:lpstr>Cálculos!Af</vt:lpstr>
      <vt:lpstr>Cálculos!Ag</vt:lpstr>
      <vt:lpstr>Cálculos!Ag_usuario</vt:lpstr>
      <vt:lpstr>Cálculos!alfa</vt:lpstr>
      <vt:lpstr>Cálculos!alto</vt:lpstr>
      <vt:lpstr>Cálculos!alto_marco_usuario</vt:lpstr>
      <vt:lpstr>Cálculos!ancho</vt:lpstr>
      <vt:lpstr>aporte_espaciador</vt:lpstr>
      <vt:lpstr>aporte_marco</vt:lpstr>
      <vt:lpstr>aporte_vidriado</vt:lpstr>
      <vt:lpstr>Datos!Área_de_impresión</vt:lpstr>
      <vt:lpstr>Cálculos!Aw</vt:lpstr>
      <vt:lpstr>Cálculos!caso</vt:lpstr>
      <vt:lpstr>Cálculos!cgas</vt:lpstr>
      <vt:lpstr>Cálculos!Configuración</vt:lpstr>
      <vt:lpstr>Cálculos!d</vt:lpstr>
      <vt:lpstr>Cálculos!df</vt:lpstr>
      <vt:lpstr>Cálculos!fm</vt:lpstr>
      <vt:lpstr>Cálculos!Grgas</vt:lpstr>
      <vt:lpstr>Cálculos!Junta_apertura_calc</vt:lpstr>
      <vt:lpstr>Cálculos!lambda_vidrio</vt:lpstr>
      <vt:lpstr>Cálculos!lg</vt:lpstr>
      <vt:lpstr>Cálculos!lg_calc</vt:lpstr>
      <vt:lpstr>n_gas</vt:lpstr>
      <vt:lpstr>Cálculos!Nu_gas</vt:lpstr>
      <vt:lpstr>opción_sup_Ventana</vt:lpstr>
      <vt:lpstr>opciones_tipo_cierre</vt:lpstr>
      <vt:lpstr>Cálculos!Pr_gas</vt:lpstr>
      <vt:lpstr>proporción_defecto</vt:lpstr>
      <vt:lpstr>Cálculos!Rf_metálico</vt:lpstr>
      <vt:lpstr>Rse</vt:lpstr>
      <vt:lpstr>Rsi</vt:lpstr>
      <vt:lpstr>tipo_categoría_marco</vt:lpstr>
      <vt:lpstr>tipo_cierre</vt:lpstr>
      <vt:lpstr>tipo_espaciador_1</vt:lpstr>
      <vt:lpstr>Cálculos!tipo_espaciador_2</vt:lpstr>
      <vt:lpstr>tipo_marco</vt:lpstr>
      <vt:lpstr>tipo_vidriado</vt:lpstr>
      <vt:lpstr>Tm_gas_defecto</vt:lpstr>
      <vt:lpstr>txt_cálculo</vt:lpstr>
      <vt:lpstr>txt_campo_numérico</vt:lpstr>
      <vt:lpstr>txt_espaciador</vt:lpstr>
      <vt:lpstr>txt_marco</vt:lpstr>
      <vt:lpstr>txt_R_cámara_aire</vt:lpstr>
      <vt:lpstr>txt_transmitancia_marco</vt:lpstr>
      <vt:lpstr>txt_transmitancia_marco_usuario</vt:lpstr>
      <vt:lpstr>txt_transmitancia_marco_vidrio</vt:lpstr>
      <vt:lpstr>txt_transmitancia_marco_vidrio_usuario</vt:lpstr>
      <vt:lpstr>txt_Vidrio</vt:lpstr>
      <vt:lpstr>Cálculos!Uf</vt:lpstr>
      <vt:lpstr>Cálculos!Uf_calc</vt:lpstr>
      <vt:lpstr>Uf_Metal_sin_RPT</vt:lpstr>
      <vt:lpstr>Cálculos!Uf_usuario</vt:lpstr>
      <vt:lpstr>Cálculos!Ug</vt:lpstr>
      <vt:lpstr>Cálculos!Uw</vt:lpstr>
      <vt:lpstr>ΔT_gas_defecto</vt:lpstr>
      <vt:lpstr>ε_vidrio_defecto</vt:lpstr>
      <vt:lpstr>Cálculos!λgas</vt:lpstr>
      <vt:lpstr>Cálculos!μgas</vt:lpstr>
      <vt:lpstr>Cálculos!ρgas</vt:lpstr>
      <vt:lpstr>σ</vt:lpstr>
      <vt:lpstr>Cálculos!Ψg</vt:lpstr>
      <vt:lpstr>Cálculos!Ψg_calc</vt:lpstr>
      <vt:lpstr>Ψg_usuario</vt:lpstr>
    </vt:vector>
  </TitlesOfParts>
  <Company>Ministerio de Vivienda Y Urbanismo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Xavier Irazoqui Oyarzabal</dc:creator>
  <cp:lastModifiedBy>Camilo Lanata Giralt</cp:lastModifiedBy>
  <dcterms:created xsi:type="dcterms:W3CDTF">2022-06-15T16:55:57Z</dcterms:created>
  <dcterms:modified xsi:type="dcterms:W3CDTF">2024-01-23T11:27:30Z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0x01010079781E57EE3776479F00CFB3B8B4EE7E</vt:lpwstr>
  </property>
</Properties>
</file>